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430" activeTab="3"/>
  </bookViews>
  <sheets>
    <sheet name="ReadMe" sheetId="1" r:id="rId1"/>
    <sheet name="GeneralPlot" sheetId="2" r:id="rId2"/>
    <sheet name="Bats" sheetId="3" r:id="rId3"/>
    <sheet name="Blue_whale" sheetId="4" r:id="rId4"/>
    <sheet name="Shr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<sst xmlns="http://schemas.openxmlformats.org/spreadsheetml/2006/main" count="318" uniqueCount="208">
  <si>
    <t>calories</t>
  </si>
  <si>
    <t>Body mass</t>
  </si>
  <si>
    <t>BMR</t>
  </si>
  <si>
    <t>Body Mass</t>
  </si>
  <si>
    <t>MBW</t>
  </si>
  <si>
    <t>Kcal/Day</t>
  </si>
  <si>
    <t>Digestibility</t>
  </si>
  <si>
    <t>%</t>
  </si>
  <si>
    <t>g</t>
  </si>
  <si>
    <t>RMR</t>
  </si>
  <si>
    <t>Food</t>
  </si>
  <si>
    <t>Food/BM</t>
  </si>
  <si>
    <t>Ratio</t>
  </si>
  <si>
    <t>kg</t>
  </si>
  <si>
    <t>RMRMult</t>
  </si>
  <si>
    <t>FeedTime</t>
  </si>
  <si>
    <t>Hours</t>
  </si>
  <si>
    <t>IntakeRate</t>
  </si>
  <si>
    <t>g / min</t>
  </si>
  <si>
    <t>BM</t>
  </si>
  <si>
    <t>BMg</t>
  </si>
  <si>
    <t>BMkg</t>
  </si>
  <si>
    <t>Mouse/Bat</t>
  </si>
  <si>
    <t>Snowshoe hare</t>
  </si>
  <si>
    <t>Opossum</t>
  </si>
  <si>
    <t>Shrew</t>
  </si>
  <si>
    <t>Mole</t>
  </si>
  <si>
    <t>Blarina</t>
  </si>
  <si>
    <t>Wolf</t>
  </si>
  <si>
    <t>Coyote</t>
  </si>
  <si>
    <t>Gray fox</t>
  </si>
  <si>
    <t>Raccoon</t>
  </si>
  <si>
    <t>Skunk</t>
  </si>
  <si>
    <t>Ermine</t>
  </si>
  <si>
    <t>Mink</t>
  </si>
  <si>
    <t>KG</t>
  </si>
  <si>
    <t>White-tailed deer</t>
  </si>
  <si>
    <t>Elk</t>
  </si>
  <si>
    <t>Moose</t>
  </si>
  <si>
    <t>Bison</t>
  </si>
  <si>
    <t>Gray squirrel</t>
  </si>
  <si>
    <t>Elephant</t>
  </si>
  <si>
    <t>Hippopotamous</t>
  </si>
  <si>
    <t>Body mass in g</t>
  </si>
  <si>
    <t>Body mass in kg</t>
  </si>
  <si>
    <t>Metabolic body weight</t>
  </si>
  <si>
    <t>kg^0.75</t>
  </si>
  <si>
    <t>Multiple of resting metabolic rate</t>
  </si>
  <si>
    <t>Digestibility of food</t>
  </si>
  <si>
    <t>70*kcal/kg^0.75</t>
  </si>
  <si>
    <t>Basal metabolic rate</t>
  </si>
  <si>
    <t>Resting metabolic rate</t>
  </si>
  <si>
    <t>Food required per day</t>
  </si>
  <si>
    <t>Food required as % of body mass</t>
  </si>
  <si>
    <t>Food intake rate given foraging time (herbivore)</t>
  </si>
  <si>
    <t>Label</t>
  </si>
  <si>
    <t>Units</t>
  </si>
  <si>
    <t>Description</t>
  </si>
  <si>
    <t>Formula</t>
  </si>
  <si>
    <t>Fruit bat</t>
  </si>
  <si>
    <t>2 g</t>
  </si>
  <si>
    <t>Smallest bat:</t>
  </si>
  <si>
    <t>Bat</t>
  </si>
  <si>
    <t>Mosquito mass</t>
  </si>
  <si>
    <t>kcal/g</t>
  </si>
  <si>
    <t>g body mass of bat</t>
  </si>
  <si>
    <t>Kcal/day</t>
  </si>
  <si>
    <t>Frc digestibility</t>
  </si>
  <si>
    <t>Energy/mosquito</t>
  </si>
  <si>
    <t>Kcal / mosquito</t>
  </si>
  <si>
    <t>Mosquitos needed</t>
  </si>
  <si>
    <t>hours of foraging</t>
  </si>
  <si>
    <t>Minutes</t>
  </si>
  <si>
    <t>Microchiropteran</t>
  </si>
  <si>
    <t>Megachiropteran</t>
  </si>
  <si>
    <t>Mosquitos caught / minute</t>
  </si>
  <si>
    <t>cm long fruit, assume circle</t>
  </si>
  <si>
    <t>volume that is not seed</t>
  </si>
  <si>
    <t>g edible material per fruit</t>
  </si>
  <si>
    <t>Calories / fruit</t>
  </si>
  <si>
    <t>Fraction consumed</t>
  </si>
  <si>
    <t>Calories / fruit found</t>
  </si>
  <si>
    <t>kcals per 100 g edible pulp</t>
  </si>
  <si>
    <t>Calculate volume of a sphere</t>
  </si>
  <si>
    <t>Megachiropteran on fruit</t>
  </si>
  <si>
    <t>kg body mass</t>
  </si>
  <si>
    <t>kcals from fat</t>
  </si>
  <si>
    <t>kcals from fat reserves</t>
  </si>
  <si>
    <t>Kcals / day from food</t>
  </si>
  <si>
    <t>Baseline multiple of BMR</t>
  </si>
  <si>
    <t>Unit switch from grams to kg</t>
  </si>
  <si>
    <t>Approximate size of animals</t>
  </si>
  <si>
    <t>Introduce calculation of BMR</t>
  </si>
  <si>
    <t>Plot RMR and food requirements in tabular form</t>
  </si>
  <si>
    <t>Microchiropterans are both small and mainly insectivorous</t>
  </si>
  <si>
    <t>Megachiropterans are larger and fruit eaters</t>
  </si>
  <si>
    <t>Can we make predictions about foraging time and effort using different diets?</t>
  </si>
  <si>
    <t>Info</t>
  </si>
  <si>
    <t>Yellow cell with bold text for general information</t>
  </si>
  <si>
    <t>A number that can be entered, used in formula</t>
  </si>
  <si>
    <t>A number that can be changed but is not part of "lesson"</t>
  </si>
  <si>
    <t xml:space="preserve">    Data taken from USDA website</t>
  </si>
  <si>
    <t>kcal / g edible material</t>
  </si>
  <si>
    <t>calories/g</t>
  </si>
  <si>
    <t>calories / dry g</t>
  </si>
  <si>
    <t>fraction dry matter in pulp</t>
  </si>
  <si>
    <t>dry matter content of fruit (estimated)</t>
  </si>
  <si>
    <t>Fruits visited / day</t>
  </si>
  <si>
    <t>Loquat--fruit eaten by Megachiropteran in Israel</t>
  </si>
  <si>
    <t xml:space="preserve">Loquat--fruit </t>
  </si>
  <si>
    <t>minutes per fruit</t>
  </si>
  <si>
    <t>External body fat</t>
  </si>
  <si>
    <t>Used MBLM</t>
  </si>
  <si>
    <t>Color codes that I try to use consistently</t>
  </si>
  <si>
    <t>A number that probably should not be changed</t>
  </si>
  <si>
    <t>Change this to test sensitivity of results</t>
  </si>
  <si>
    <t>Also can be changed but less important to look at</t>
  </si>
  <si>
    <t>Current pages</t>
  </si>
  <si>
    <t>ReadMe</t>
  </si>
  <si>
    <t>This page with descriptive information</t>
  </si>
  <si>
    <t>GeneralPlot</t>
  </si>
  <si>
    <t>General plots of BMR, RMR, foraging time with respect to body size</t>
  </si>
  <si>
    <t>Bats</t>
  </si>
  <si>
    <t>Contrast diet of megachiropterans and microchiropterans</t>
  </si>
  <si>
    <t>Winter energy reserves of raccoon prompted by fat depots of carcass in lab</t>
  </si>
  <si>
    <t>Wolf_Moose</t>
  </si>
  <si>
    <t>Examination of wolf and moose needs roughly in line with Isle Royale talks</t>
  </si>
  <si>
    <t>BearWinterLethargy</t>
  </si>
  <si>
    <t>Calculation of enery required to rewarm if a bear were to reduce body temperature like true hibernator</t>
  </si>
  <si>
    <t>Whale</t>
  </si>
  <si>
    <t>Blue whale</t>
  </si>
  <si>
    <t xml:space="preserve">Max Body mass </t>
  </si>
  <si>
    <t>Feed in summer in Arctic</t>
  </si>
  <si>
    <t>Increase body mass by 50%</t>
  </si>
  <si>
    <t>Calve in subtropical waters after migration</t>
  </si>
  <si>
    <t>Females feed little or none while lactating</t>
  </si>
  <si>
    <t>Female weight loss / kg milk</t>
  </si>
  <si>
    <t>kg milk / kg body mass increase</t>
  </si>
  <si>
    <t>Calf milk eaten / weight gain</t>
  </si>
  <si>
    <t>Female arriving at feeding grounds</t>
  </si>
  <si>
    <t>Gain</t>
  </si>
  <si>
    <t>Lost during lactation</t>
  </si>
  <si>
    <t>Milk produced</t>
  </si>
  <si>
    <t>Calves</t>
  </si>
  <si>
    <t>Birth weight</t>
  </si>
  <si>
    <t>Lactation</t>
  </si>
  <si>
    <t>days</t>
  </si>
  <si>
    <t>Weight gain / day</t>
  </si>
  <si>
    <t>kg / day</t>
  </si>
  <si>
    <t>Total weight gain</t>
  </si>
  <si>
    <t>Milk / day</t>
  </si>
  <si>
    <t>Oftedahl, O.T. 1993. The adaptation of milk secretion to the constraints of fasting</t>
  </si>
  <si>
    <t xml:space="preserve">    in bears, seals, and baleen whales. J. Dairy Science 76:3234-3246.</t>
  </si>
  <si>
    <t xml:space="preserve"> kg</t>
  </si>
  <si>
    <t>Body fat</t>
  </si>
  <si>
    <t>Lean body mass</t>
  </si>
  <si>
    <t>Body mass as fat reserves</t>
  </si>
  <si>
    <t>percent</t>
  </si>
  <si>
    <t>Days of lactation</t>
  </si>
  <si>
    <t>Milk composition</t>
  </si>
  <si>
    <t>Water</t>
  </si>
  <si>
    <t>Fat</t>
  </si>
  <si>
    <t>Protein</t>
  </si>
  <si>
    <t>Sugar</t>
  </si>
  <si>
    <t>Pct</t>
  </si>
  <si>
    <t>Kcal/g</t>
  </si>
  <si>
    <t>kcals / g milk</t>
  </si>
  <si>
    <t>days met from fat reserves if no lactation</t>
  </si>
  <si>
    <t>Kcal/day -- at above MBLM</t>
  </si>
  <si>
    <t>Kcals in milk over lactation</t>
  </si>
  <si>
    <t>Efficiency of converstion to Milk Energy</t>
  </si>
  <si>
    <t>Kcals used for milk production (total)</t>
  </si>
  <si>
    <t>Kcals left over for "survival"</t>
  </si>
  <si>
    <t>What animal has as reserve</t>
  </si>
  <si>
    <t>Calves weaned at 7 months</t>
  </si>
  <si>
    <t>Alternative body mass scenarios</t>
  </si>
  <si>
    <t>Blue whales present an interesting problem with respect to lactation</t>
  </si>
  <si>
    <t>Females migrate to warmer waters to calve, and do not feed while lactating (about 7 months)</t>
  </si>
  <si>
    <t>Question: How much energy reserves are stored for milk production?</t>
  </si>
  <si>
    <t>Shrews (Soricidae) are small mammals that have a high metabolic rate</t>
  </si>
  <si>
    <t>In part this arises from their small surface area:volume ratio</t>
  </si>
  <si>
    <t>Efficiency of conversion to Milk Energy</t>
  </si>
  <si>
    <t>Breeds 7 months (March - September)</t>
  </si>
  <si>
    <t>3 litters / season</t>
  </si>
  <si>
    <t>5 to 8 young / litter</t>
  </si>
  <si>
    <t>Energy  intake needed to end up w/ 0 fat reserves</t>
  </si>
  <si>
    <t>kcal / day</t>
  </si>
  <si>
    <r>
      <t xml:space="preserve">Arctic shrew </t>
    </r>
    <r>
      <rPr>
        <i/>
        <sz val="10"/>
        <rFont val="Arial"/>
        <family val="2"/>
      </rPr>
      <t>(Sorex arcticus</t>
    </r>
    <r>
      <rPr>
        <sz val="10"/>
        <rFont val="Arial"/>
        <family val="0"/>
      </rPr>
      <t>)</t>
    </r>
  </si>
  <si>
    <t>Fraction of BMR devoted to lactation</t>
  </si>
  <si>
    <t>Kcals / day for lactation</t>
  </si>
  <si>
    <t>Question: What role can fat reserves play in a small lactating mammal</t>
  </si>
  <si>
    <t>Graphs below show result of log-log transformation. Curved line converted to straight line (linear regression possible). Straight line is because regular progression in body mass and no random error</t>
  </si>
  <si>
    <t xml:space="preserve">Graphs below show similarity of curve -- note axis is g in first 2 graphs, and bottom left graph axis is kg. All graphs look similar in shape. </t>
  </si>
  <si>
    <t>e.g., body temperature is 38 C</t>
  </si>
  <si>
    <t>Show effect of log-log transformation</t>
  </si>
  <si>
    <t>MBLM multiplier</t>
  </si>
  <si>
    <t>Kcals / day available after lactation</t>
  </si>
  <si>
    <t>"Cushion" (available energy, kcals / day)</t>
  </si>
  <si>
    <t>Reserve as Fraction of daily energy needs of cow</t>
  </si>
  <si>
    <t>Use this for comparison</t>
  </si>
  <si>
    <t>Make changes in this one</t>
  </si>
  <si>
    <t>kcals available  from fat reserves</t>
  </si>
  <si>
    <t>Kcals in milk per lactation</t>
  </si>
  <si>
    <t>Kcals / day required from food -- if negative fat reserves adequate</t>
  </si>
  <si>
    <t>Net balance after lactation costs (Kcals/lactation)</t>
  </si>
  <si>
    <t>Milk / day (g)</t>
  </si>
  <si>
    <t>Milk / lactation (g)</t>
  </si>
  <si>
    <t>Milk production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</si>
</sst>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0"/>
    <numFmt numFmtId="166" formatCode="0.0"/>
    <numFmt numFmtId="167" formatCode="&quot;$&quot;#,##0.00"/>
    <numFmt numFmtId="168" formatCode="#,##0.000"/>
    <numFmt numFmtId="169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25"/>
      <name val="Arial"/>
      <family val="0"/>
    </font>
    <font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166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1" fontId="0" fillId="3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ill="1" applyAlignment="1">
      <alignment/>
    </xf>
    <xf numFmtId="4" fontId="0" fillId="5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/>
    </xf>
    <xf numFmtId="168" fontId="0" fillId="5" borderId="0" xfId="0" applyNumberFormat="1" applyFill="1" applyAlignment="1">
      <alignment/>
    </xf>
    <xf numFmtId="2" fontId="0" fillId="5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02925"/>
          <c:w val="0.846"/>
          <c:h val="0.857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GeneralPlot!$P$7</c:f>
              <c:strCache>
                <c:ptCount val="1"/>
                <c:pt idx="0">
                  <c:v>RMR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GeneralPlot!$O$8:$O$25</c:f>
              <c:numCache/>
            </c:numRef>
          </c:xVal>
          <c:yVal>
            <c:numRef>
              <c:f>GeneralPlot!$P$8:$P$25</c:f>
              <c:numCache/>
            </c:numRef>
          </c:yVal>
          <c:smooth val="0"/>
        </c:ser>
        <c:axId val="29081621"/>
        <c:axId val="60407998"/>
      </c:scatterChart>
      <c:val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crossBetween val="midCat"/>
        <c:dispUnits/>
      </c:valAx>
      <c:valAx>
        <c:axId val="6040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"/>
          <c:y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0365"/>
          <c:w val="0.8457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GeneralPlot!$P$7</c:f>
              <c:strCache>
                <c:ptCount val="1"/>
                <c:pt idx="0">
                  <c:v>RMR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GeneralPlot!$O$8:$O$21</c:f>
              <c:numCache/>
            </c:numRef>
          </c:xVal>
          <c:yVal>
            <c:numRef>
              <c:f>GeneralPlot!$P$8:$P$21</c:f>
              <c:numCache/>
            </c:numRef>
          </c:yVal>
          <c:smooth val="0"/>
        </c:ser>
        <c:axId val="6801071"/>
        <c:axId val="61209640"/>
      </c:scatterChart>
      <c:val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61209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"/>
          <c:y val="0.0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0345"/>
          <c:w val="0.831"/>
          <c:h val="0.8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GeneralPlot!$P$30</c:f>
              <c:strCache>
                <c:ptCount val="1"/>
                <c:pt idx="0">
                  <c:v>RMR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GeneralPlot!$O$31:$O$48</c:f>
              <c:numCache/>
            </c:numRef>
          </c:xVal>
          <c:yVal>
            <c:numRef>
              <c:f>GeneralPlot!$P$31:$P$48</c:f>
              <c:numCache/>
            </c:numRef>
          </c:yVal>
          <c:smooth val="0"/>
        </c:ser>
        <c:axId val="14015849"/>
        <c:axId val="59033778"/>
      </c:scatterChart>
      <c:val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crossBetween val="midCat"/>
        <c:dispUnits/>
      </c:valAx>
      <c:valAx>
        <c:axId val="59033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5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083"/>
          <c:w val="0.10025"/>
          <c:h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03425"/>
          <c:w val="0.831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GeneralPlot!$P$30</c:f>
              <c:strCache>
                <c:ptCount val="1"/>
                <c:pt idx="0">
                  <c:v>RMR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GeneralPlot!$O$31:$O$48</c:f>
              <c:numCache/>
            </c:numRef>
          </c:xVal>
          <c:yVal>
            <c:numRef>
              <c:f>GeneralPlot!$P$31:$P$48</c:f>
              <c:numCache/>
            </c:numRef>
          </c:yVal>
          <c:smooth val="0"/>
        </c:ser>
        <c:axId val="61541955"/>
        <c:axId val="17006684"/>
      </c:scatterChart>
      <c:valAx>
        <c:axId val="6154195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1700668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08275"/>
          <c:w val="0.1"/>
          <c:h val="0.0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0.37</cdr:y>
    </cdr:from>
    <cdr:to>
      <cdr:x>0.13675</cdr:x>
      <cdr:y>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906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Kcals/day</a:t>
          </a:r>
        </a:p>
      </cdr:txBody>
    </cdr:sp>
  </cdr:relSizeAnchor>
  <cdr:relSizeAnchor xmlns:cdr="http://schemas.openxmlformats.org/drawingml/2006/chartDrawing">
    <cdr:from>
      <cdr:x>0.45325</cdr:x>
      <cdr:y>0.91575</cdr:y>
    </cdr:from>
    <cdr:to>
      <cdr:x>0.64725</cdr:x>
      <cdr:y>0.99375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2457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Body mass (g)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0.352</cdr:y>
    </cdr:from>
    <cdr:to>
      <cdr:x>0.14925</cdr:x>
      <cdr:y>0.43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942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Kcals/day</a:t>
          </a:r>
        </a:p>
      </cdr:txBody>
    </cdr:sp>
  </cdr:relSizeAnchor>
  <cdr:relSizeAnchor xmlns:cdr="http://schemas.openxmlformats.org/drawingml/2006/chartDrawing">
    <cdr:from>
      <cdr:x>0.55525</cdr:x>
      <cdr:y>0.90475</cdr:y>
    </cdr:from>
    <cdr:to>
      <cdr:x>0.74925</cdr:x>
      <cdr:y>0.98275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2428875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Body mass (g)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0.92725</cdr:y>
    </cdr:from>
    <cdr:to>
      <cdr:x>0.58575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262890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Body mass (kg)</a:t>
          </a:r>
        </a:p>
      </cdr:txBody>
    </cdr:sp>
  </cdr:relSizeAnchor>
  <cdr:relSizeAnchor xmlns:cdr="http://schemas.openxmlformats.org/drawingml/2006/chartDrawing">
    <cdr:from>
      <cdr:x>0</cdr:x>
      <cdr:y>0.3875</cdr:y>
    </cdr:from>
    <cdr:to>
      <cdr:x>0.1085</cdr:x>
      <cdr:y>0.46125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0953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Kcals/day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0.92725</cdr:y>
    </cdr:from>
    <cdr:to>
      <cdr:x>0.592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2638425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Body mass (kg)</a:t>
          </a:r>
        </a:p>
      </cdr:txBody>
    </cdr:sp>
  </cdr:relSizeAnchor>
  <cdr:relSizeAnchor xmlns:cdr="http://schemas.openxmlformats.org/drawingml/2006/chartDrawing">
    <cdr:from>
      <cdr:x>0</cdr:x>
      <cdr:y>0.3875</cdr:y>
    </cdr:from>
    <cdr:to>
      <cdr:x>0.10825</cdr:x>
      <cdr:y>0.461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0953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Kcals/day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</xdr:row>
      <xdr:rowOff>28575</xdr:rowOff>
    </xdr:from>
    <xdr:to>
      <xdr:col>24</xdr:col>
      <xdr:colOff>95250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11029950" y="1000125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285750</xdr:colOff>
      <xdr:row>6</xdr:row>
      <xdr:rowOff>28575</xdr:rowOff>
    </xdr:from>
    <xdr:to>
      <xdr:col>32</xdr:col>
      <xdr:colOff>76200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15887700" y="1000125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285750</xdr:colOff>
      <xdr:row>29</xdr:row>
      <xdr:rowOff>114300</xdr:rowOff>
    </xdr:from>
    <xdr:to>
      <xdr:col>26</xdr:col>
      <xdr:colOff>76200</xdr:colOff>
      <xdr:row>47</xdr:row>
      <xdr:rowOff>38100</xdr:rowOff>
    </xdr:to>
    <xdr:graphicFrame>
      <xdr:nvGraphicFramePr>
        <xdr:cNvPr id="3" name="Chart 3"/>
        <xdr:cNvGraphicFramePr/>
      </xdr:nvGraphicFramePr>
      <xdr:xfrm>
        <a:off x="11010900" y="4810125"/>
        <a:ext cx="5886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19</xdr:col>
      <xdr:colOff>600075</xdr:colOff>
      <xdr:row>22</xdr:row>
      <xdr:rowOff>9525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315402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466725</xdr:colOff>
      <xdr:row>30</xdr:row>
      <xdr:rowOff>0</xdr:rowOff>
    </xdr:from>
    <xdr:to>
      <xdr:col>36</xdr:col>
      <xdr:colOff>266700</xdr:colOff>
      <xdr:row>47</xdr:row>
      <xdr:rowOff>95250</xdr:rowOff>
    </xdr:to>
    <xdr:graphicFrame>
      <xdr:nvGraphicFramePr>
        <xdr:cNvPr id="5" name="Chart 6"/>
        <xdr:cNvGraphicFramePr/>
      </xdr:nvGraphicFramePr>
      <xdr:xfrm>
        <a:off x="17287875" y="4857750"/>
        <a:ext cx="58959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cture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arWinterLethargy (2)"/>
      <sheetName val="BearWinterLethargy"/>
      <sheetName val="PlacentaVilliLength"/>
      <sheetName val="CamelWaterConservation"/>
      <sheetName val="ReadMe"/>
      <sheetName val="Calcs"/>
      <sheetName val="WaterL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1"/>
  <sheetViews>
    <sheetView workbookViewId="0" topLeftCell="A25">
      <selection activeCell="C43" sqref="C43"/>
    </sheetView>
  </sheetViews>
  <sheetFormatPr defaultColWidth="9.140625" defaultRowHeight="12.75"/>
  <cols>
    <col min="3" max="3" width="15.421875" style="0" customWidth="1"/>
    <col min="5" max="5" width="55.140625" style="0" customWidth="1"/>
    <col min="6" max="6" width="20.421875" style="0" customWidth="1"/>
  </cols>
  <sheetData>
    <row r="3" ht="12.75">
      <c r="C3" s="4" t="s">
        <v>117</v>
      </c>
    </row>
    <row r="4" spans="3:5" ht="12.75">
      <c r="C4" t="s">
        <v>118</v>
      </c>
      <c r="E4" t="s">
        <v>119</v>
      </c>
    </row>
    <row r="5" spans="3:5" ht="12.75">
      <c r="C5" t="s">
        <v>120</v>
      </c>
      <c r="E5" t="s">
        <v>121</v>
      </c>
    </row>
    <row r="6" spans="3:5" ht="12.75">
      <c r="C6" t="s">
        <v>122</v>
      </c>
      <c r="E6" t="s">
        <v>123</v>
      </c>
    </row>
    <row r="7" spans="3:5" ht="12.75">
      <c r="C7" t="s">
        <v>31</v>
      </c>
      <c r="E7" t="s">
        <v>124</v>
      </c>
    </row>
    <row r="8" spans="3:5" ht="12.75">
      <c r="C8" t="s">
        <v>125</v>
      </c>
      <c r="E8" t="s">
        <v>126</v>
      </c>
    </row>
    <row r="9" spans="3:5" ht="12.75">
      <c r="C9" t="s">
        <v>127</v>
      </c>
      <c r="E9" t="s">
        <v>128</v>
      </c>
    </row>
    <row r="11" spans="3:6" s="4" customFormat="1" ht="12.75">
      <c r="C11" s="4" t="s">
        <v>55</v>
      </c>
      <c r="D11" s="4" t="s">
        <v>56</v>
      </c>
      <c r="E11" s="4" t="s">
        <v>57</v>
      </c>
      <c r="F11" s="12" t="s">
        <v>58</v>
      </c>
    </row>
    <row r="12" spans="3:7" ht="12.75">
      <c r="C12" s="10" t="s">
        <v>19</v>
      </c>
      <c r="D12" s="3"/>
      <c r="E12" s="10" t="s">
        <v>3</v>
      </c>
      <c r="F12" s="3"/>
      <c r="G12" s="3"/>
    </row>
    <row r="13" spans="3:7" ht="12.75">
      <c r="C13" s="10" t="s">
        <v>20</v>
      </c>
      <c r="D13" s="3" t="s">
        <v>8</v>
      </c>
      <c r="E13" s="10" t="s">
        <v>43</v>
      </c>
      <c r="F13" s="3"/>
      <c r="G13" s="3"/>
    </row>
    <row r="14" spans="3:7" ht="12.75">
      <c r="C14" s="10" t="s">
        <v>21</v>
      </c>
      <c r="D14" s="3" t="s">
        <v>13</v>
      </c>
      <c r="E14" s="10" t="s">
        <v>44</v>
      </c>
      <c r="F14" s="3"/>
      <c r="G14" s="3"/>
    </row>
    <row r="15" spans="3:7" ht="12.75">
      <c r="C15" s="11" t="s">
        <v>4</v>
      </c>
      <c r="D15" s="6" t="s">
        <v>46</v>
      </c>
      <c r="E15" s="10" t="s">
        <v>45</v>
      </c>
      <c r="F15" s="3"/>
      <c r="G15" s="3"/>
    </row>
    <row r="16" spans="3:6" ht="12.75">
      <c r="C16" s="10" t="s">
        <v>2</v>
      </c>
      <c r="D16" s="3" t="s">
        <v>5</v>
      </c>
      <c r="E16" s="10" t="s">
        <v>50</v>
      </c>
      <c r="F16" s="6" t="s">
        <v>49</v>
      </c>
    </row>
    <row r="17" spans="3:5" ht="12.75">
      <c r="C17" s="10" t="s">
        <v>9</v>
      </c>
      <c r="D17" s="3" t="s">
        <v>5</v>
      </c>
      <c r="E17" s="10" t="s">
        <v>51</v>
      </c>
    </row>
    <row r="18" spans="3:5" ht="12.75">
      <c r="C18" s="10" t="s">
        <v>10</v>
      </c>
      <c r="D18" s="3" t="s">
        <v>8</v>
      </c>
      <c r="E18" s="10" t="s">
        <v>52</v>
      </c>
    </row>
    <row r="19" spans="3:5" ht="12.75">
      <c r="C19" s="10" t="s">
        <v>11</v>
      </c>
      <c r="D19" s="3" t="s">
        <v>7</v>
      </c>
      <c r="E19" s="10" t="s">
        <v>53</v>
      </c>
    </row>
    <row r="20" spans="3:5" ht="12.75">
      <c r="C20" s="10" t="s">
        <v>17</v>
      </c>
      <c r="D20" s="3" t="s">
        <v>18</v>
      </c>
      <c r="E20" s="10" t="s">
        <v>54</v>
      </c>
    </row>
    <row r="21" spans="3:5" ht="12.75">
      <c r="C21" s="10"/>
      <c r="E21" s="10"/>
    </row>
    <row r="22" spans="3:5" ht="12.75">
      <c r="C22" s="10"/>
      <c r="E22" s="10"/>
    </row>
    <row r="23" spans="3:5" ht="12.75">
      <c r="C23" s="10" t="s">
        <v>14</v>
      </c>
      <c r="E23" s="10" t="s">
        <v>47</v>
      </c>
    </row>
    <row r="24" spans="3:5" ht="12.75">
      <c r="C24" s="10" t="s">
        <v>6</v>
      </c>
      <c r="E24" s="10" t="s">
        <v>48</v>
      </c>
    </row>
    <row r="25" spans="3:5" ht="12.75">
      <c r="C25" s="10"/>
      <c r="E25" s="10"/>
    </row>
    <row r="26" spans="3:5" ht="12.75">
      <c r="C26" s="10"/>
      <c r="E26" s="10"/>
    </row>
    <row r="29" ht="12.75">
      <c r="C29" s="4" t="s">
        <v>113</v>
      </c>
    </row>
    <row r="31" spans="3:5" ht="12.75">
      <c r="C31" s="18" t="s">
        <v>97</v>
      </c>
      <c r="D31" s="9"/>
      <c r="E31" s="9" t="s">
        <v>98</v>
      </c>
    </row>
    <row r="33" spans="3:5" ht="12.75">
      <c r="C33" s="23">
        <v>1</v>
      </c>
      <c r="D33" s="23"/>
      <c r="E33" s="23" t="s">
        <v>99</v>
      </c>
    </row>
    <row r="34" spans="3:5" ht="12.75">
      <c r="C34" s="23"/>
      <c r="D34" s="23"/>
      <c r="E34" s="23" t="s">
        <v>115</v>
      </c>
    </row>
    <row r="36" spans="3:5" ht="12.75">
      <c r="C36" s="24">
        <v>1</v>
      </c>
      <c r="D36" s="24"/>
      <c r="E36" s="24" t="s">
        <v>100</v>
      </c>
    </row>
    <row r="37" spans="3:5" ht="12.75">
      <c r="C37" s="24"/>
      <c r="D37" s="24"/>
      <c r="E37" s="24" t="s">
        <v>116</v>
      </c>
    </row>
    <row r="39" spans="3:5" ht="12.75">
      <c r="C39" s="27">
        <v>1</v>
      </c>
      <c r="D39" s="27"/>
      <c r="E39" s="27" t="s">
        <v>114</v>
      </c>
    </row>
    <row r="40" spans="3:5" ht="12.75">
      <c r="C40" s="27"/>
      <c r="D40" s="27"/>
      <c r="E40" s="27" t="s">
        <v>193</v>
      </c>
    </row>
    <row r="41" spans="3:5" ht="12.75">
      <c r="C41" s="27"/>
      <c r="D41" s="27"/>
      <c r="E41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workbookViewId="0" topLeftCell="A1">
      <selection activeCell="A5" sqref="A5"/>
    </sheetView>
  </sheetViews>
  <sheetFormatPr defaultColWidth="9.140625" defaultRowHeight="12.75"/>
  <cols>
    <col min="2" max="2" width="6.140625" style="0" customWidth="1"/>
    <col min="3" max="3" width="15.421875" style="0" customWidth="1"/>
    <col min="6" max="6" width="9.140625" style="1" customWidth="1"/>
    <col min="7" max="7" width="13.421875" style="1" customWidth="1"/>
    <col min="8" max="8" width="9.57421875" style="0" bestFit="1" customWidth="1"/>
    <col min="9" max="9" width="12.421875" style="0" customWidth="1"/>
    <col min="10" max="10" width="9.28125" style="0" bestFit="1" customWidth="1"/>
    <col min="11" max="11" width="12.28125" style="0" customWidth="1"/>
  </cols>
  <sheetData>
    <row r="1" spans="1:7" s="3" customFormat="1" ht="12.75">
      <c r="A1" s="21" t="s">
        <v>91</v>
      </c>
      <c r="B1" s="22"/>
      <c r="C1" s="22"/>
      <c r="D1" s="22"/>
      <c r="E1" s="22"/>
      <c r="F1" s="6"/>
      <c r="G1" s="6"/>
    </row>
    <row r="2" spans="1:36" s="3" customFormat="1" ht="12.75">
      <c r="A2" s="21" t="s">
        <v>92</v>
      </c>
      <c r="B2" s="22"/>
      <c r="C2" s="22"/>
      <c r="D2" s="22"/>
      <c r="E2" s="22"/>
      <c r="F2" s="6"/>
      <c r="G2" s="6"/>
      <c r="H2" s="3" t="s">
        <v>14</v>
      </c>
      <c r="I2" s="3" t="s">
        <v>6</v>
      </c>
      <c r="K2" s="3" t="s">
        <v>15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3" customFormat="1" ht="12.75">
      <c r="A3" s="21" t="s">
        <v>93</v>
      </c>
      <c r="B3" s="22"/>
      <c r="C3" s="22"/>
      <c r="D3" s="22"/>
      <c r="E3" s="22"/>
      <c r="F3" s="6"/>
      <c r="G3" s="6"/>
      <c r="H3" s="3">
        <v>2</v>
      </c>
      <c r="I3" s="3">
        <v>50</v>
      </c>
      <c r="K3" s="3">
        <v>10</v>
      </c>
      <c r="Q3" s="9"/>
      <c r="R3" s="18" t="s">
        <v>192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3" customFormat="1" ht="12.75">
      <c r="A4" s="21" t="s">
        <v>194</v>
      </c>
      <c r="B4" s="22"/>
      <c r="C4" s="22"/>
      <c r="D4" s="22"/>
      <c r="E4" s="22"/>
      <c r="F4" s="6"/>
      <c r="G4" s="6"/>
      <c r="H4" s="3" t="s">
        <v>12</v>
      </c>
      <c r="I4" s="3" t="s">
        <v>7</v>
      </c>
      <c r="K4" s="3" t="s">
        <v>16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7" s="3" customFormat="1" ht="12.75">
      <c r="A5" s="10"/>
      <c r="F5" s="6"/>
      <c r="G5" s="6"/>
    </row>
    <row r="6" spans="1:43" s="3" customFormat="1" ht="12.75">
      <c r="A6" s="10" t="s">
        <v>61</v>
      </c>
      <c r="C6" s="10" t="s">
        <v>60</v>
      </c>
      <c r="D6" s="3" t="s">
        <v>8</v>
      </c>
      <c r="E6" s="3" t="s">
        <v>13</v>
      </c>
      <c r="F6" s="6" t="s">
        <v>46</v>
      </c>
      <c r="G6" s="6"/>
      <c r="H6" s="3" t="s">
        <v>5</v>
      </c>
      <c r="I6" s="3" t="s">
        <v>8</v>
      </c>
      <c r="J6" s="3" t="s">
        <v>7</v>
      </c>
      <c r="K6" s="3" t="s">
        <v>18</v>
      </c>
      <c r="O6" s="3" t="str">
        <f aca="true" t="shared" si="0" ref="O6:O25">D6</f>
        <v>g</v>
      </c>
      <c r="P6" s="3" t="str">
        <f aca="true" t="shared" si="1" ref="P6:P25">H6</f>
        <v>Kcal/Day</v>
      </c>
      <c r="AH6" s="16"/>
      <c r="AM6" s="16"/>
      <c r="AQ6" s="16"/>
    </row>
    <row r="7" spans="4:16" s="3" customFormat="1" ht="12.75">
      <c r="D7" s="3" t="s">
        <v>20</v>
      </c>
      <c r="E7" s="3" t="s">
        <v>21</v>
      </c>
      <c r="F7" s="6" t="s">
        <v>4</v>
      </c>
      <c r="G7" s="6"/>
      <c r="H7" s="3" t="s">
        <v>9</v>
      </c>
      <c r="I7" s="3" t="s">
        <v>10</v>
      </c>
      <c r="J7" s="3" t="s">
        <v>11</v>
      </c>
      <c r="K7" s="3" t="s">
        <v>17</v>
      </c>
      <c r="O7" s="13" t="str">
        <f t="shared" si="0"/>
        <v>BMg</v>
      </c>
      <c r="P7" s="13" t="str">
        <f t="shared" si="1"/>
        <v>RMR</v>
      </c>
    </row>
    <row r="8" spans="3:41" ht="12.75">
      <c r="C8" t="s">
        <v>62</v>
      </c>
      <c r="D8" s="2">
        <f aca="true" t="shared" si="2" ref="D8:D25">1000*E8</f>
        <v>6</v>
      </c>
      <c r="E8" s="5">
        <v>0.006</v>
      </c>
      <c r="F8" s="1">
        <f aca="true" t="shared" si="3" ref="F8:F25">E8^0.75</f>
        <v>0.02155824671778505</v>
      </c>
      <c r="H8" s="1">
        <f aca="true" t="shared" si="4" ref="H8:H25">H$3*70*F8</f>
        <v>3.018154540489907</v>
      </c>
      <c r="I8" s="1">
        <f>H8/(4.5*0.01*I3)</f>
        <v>1.3414020179955142</v>
      </c>
      <c r="J8" s="1">
        <f aca="true" t="shared" si="5" ref="J8:J25">100*I8/(1000*E8)</f>
        <v>22.356700299925237</v>
      </c>
      <c r="K8" s="1">
        <f aca="true" t="shared" si="6" ref="K8:K25">I8/(K$3*60)</f>
        <v>0.0022356700299925236</v>
      </c>
      <c r="O8" s="14">
        <f t="shared" si="0"/>
        <v>6</v>
      </c>
      <c r="P8" s="13">
        <f t="shared" si="1"/>
        <v>3.018154540489907</v>
      </c>
      <c r="AJ8" s="10"/>
      <c r="AO8" s="10"/>
    </row>
    <row r="9" spans="3:16" ht="12.75">
      <c r="C9" t="s">
        <v>25</v>
      </c>
      <c r="D9" s="2">
        <f t="shared" si="2"/>
        <v>9.000000000000002</v>
      </c>
      <c r="E9" s="5">
        <f aca="true" t="shared" si="7" ref="E9:E25">1.5*E8</f>
        <v>0.009000000000000001</v>
      </c>
      <c r="F9" s="1">
        <f t="shared" si="3"/>
        <v>0.029220112392758908</v>
      </c>
      <c r="H9" s="1">
        <f t="shared" si="4"/>
        <v>4.090815734986247</v>
      </c>
      <c r="I9" s="1">
        <f aca="true" t="shared" si="8" ref="I9:I25">H9/(4.5*0.01*I$3)</f>
        <v>1.8181403266605543</v>
      </c>
      <c r="J9" s="1">
        <f t="shared" si="5"/>
        <v>20.201559185117265</v>
      </c>
      <c r="K9" s="1">
        <f t="shared" si="6"/>
        <v>0.0030302338777675906</v>
      </c>
      <c r="O9" s="14">
        <f t="shared" si="0"/>
        <v>9.000000000000002</v>
      </c>
      <c r="P9" s="13">
        <f t="shared" si="1"/>
        <v>4.090815734986247</v>
      </c>
    </row>
    <row r="10" spans="4:16" ht="12.75">
      <c r="D10" s="2">
        <f t="shared" si="2"/>
        <v>13.500000000000002</v>
      </c>
      <c r="E10" s="5">
        <f t="shared" si="7"/>
        <v>0.013500000000000002</v>
      </c>
      <c r="F10" s="1">
        <f t="shared" si="3"/>
        <v>0.03960502815570271</v>
      </c>
      <c r="H10" s="1">
        <f t="shared" si="4"/>
        <v>5.544703941798379</v>
      </c>
      <c r="I10" s="1">
        <f t="shared" si="8"/>
        <v>2.464312863021502</v>
      </c>
      <c r="J10" s="1">
        <f t="shared" si="5"/>
        <v>18.254169355714826</v>
      </c>
      <c r="K10" s="1">
        <f t="shared" si="6"/>
        <v>0.004107188105035836</v>
      </c>
      <c r="O10" s="14">
        <f t="shared" si="0"/>
        <v>13.500000000000002</v>
      </c>
      <c r="P10" s="13">
        <f t="shared" si="1"/>
        <v>5.544703941798379</v>
      </c>
    </row>
    <row r="11" spans="3:16" ht="12.75">
      <c r="C11" t="s">
        <v>22</v>
      </c>
      <c r="D11" s="2">
        <f t="shared" si="2"/>
        <v>20.250000000000004</v>
      </c>
      <c r="E11" s="5">
        <f t="shared" si="7"/>
        <v>0.020250000000000004</v>
      </c>
      <c r="F11" s="1">
        <f t="shared" si="3"/>
        <v>0.05368077419177592</v>
      </c>
      <c r="H11" s="1">
        <f t="shared" si="4"/>
        <v>7.515308386848629</v>
      </c>
      <c r="I11" s="1">
        <f t="shared" si="8"/>
        <v>3.340137060821613</v>
      </c>
      <c r="J11" s="1">
        <f t="shared" si="5"/>
        <v>16.494504004057347</v>
      </c>
      <c r="K11" s="1">
        <f t="shared" si="6"/>
        <v>0.005566895101369355</v>
      </c>
      <c r="O11" s="14">
        <f t="shared" si="0"/>
        <v>20.250000000000004</v>
      </c>
      <c r="P11" s="13">
        <f t="shared" si="1"/>
        <v>7.515308386848629</v>
      </c>
    </row>
    <row r="12" spans="3:16" ht="12.75">
      <c r="C12" s="7" t="s">
        <v>27</v>
      </c>
      <c r="D12" s="2">
        <f t="shared" si="2"/>
        <v>30.375000000000007</v>
      </c>
      <c r="E12" s="5">
        <f t="shared" si="7"/>
        <v>0.030375000000000006</v>
      </c>
      <c r="F12" s="1">
        <f t="shared" si="3"/>
        <v>0.07275908267252455</v>
      </c>
      <c r="H12" s="1">
        <f t="shared" si="4"/>
        <v>10.186271574153437</v>
      </c>
      <c r="I12" s="1">
        <f t="shared" si="8"/>
        <v>4.527231810734861</v>
      </c>
      <c r="J12" s="1">
        <f t="shared" si="5"/>
        <v>14.904466866616822</v>
      </c>
      <c r="K12" s="1">
        <f t="shared" si="6"/>
        <v>0.007545386351224768</v>
      </c>
      <c r="O12" s="14">
        <f t="shared" si="0"/>
        <v>30.375000000000007</v>
      </c>
      <c r="P12" s="13">
        <f t="shared" si="1"/>
        <v>10.186271574153437</v>
      </c>
    </row>
    <row r="13" spans="4:43" ht="12.75">
      <c r="D13" s="2">
        <f t="shared" si="2"/>
        <v>45.56250000000001</v>
      </c>
      <c r="E13" s="5">
        <f t="shared" si="7"/>
        <v>0.045562500000000006</v>
      </c>
      <c r="F13" s="1">
        <f t="shared" si="3"/>
        <v>0.09861787932556129</v>
      </c>
      <c r="H13" s="1">
        <f t="shared" si="4"/>
        <v>13.806503105578582</v>
      </c>
      <c r="I13" s="1">
        <f t="shared" si="8"/>
        <v>6.13622360247937</v>
      </c>
      <c r="J13" s="1">
        <f t="shared" si="5"/>
        <v>13.467706123411508</v>
      </c>
      <c r="K13" s="1">
        <f t="shared" si="6"/>
        <v>0.010227039337465616</v>
      </c>
      <c r="O13" s="14">
        <f t="shared" si="0"/>
        <v>45.56250000000001</v>
      </c>
      <c r="P13" s="13">
        <f t="shared" si="1"/>
        <v>13.806503105578582</v>
      </c>
      <c r="AH13" s="15"/>
      <c r="AM13" s="15"/>
      <c r="AQ13" s="15"/>
    </row>
    <row r="14" spans="3:46" ht="12.75">
      <c r="C14" t="s">
        <v>26</v>
      </c>
      <c r="D14" s="2">
        <f t="shared" si="2"/>
        <v>68.34375000000001</v>
      </c>
      <c r="E14" s="5">
        <f t="shared" si="7"/>
        <v>0.06834375000000001</v>
      </c>
      <c r="F14" s="1">
        <f t="shared" si="3"/>
        <v>0.13366697002549668</v>
      </c>
      <c r="H14" s="1">
        <f t="shared" si="4"/>
        <v>18.713375803569537</v>
      </c>
      <c r="I14" s="1">
        <f t="shared" si="8"/>
        <v>8.317055912697572</v>
      </c>
      <c r="J14" s="1">
        <f t="shared" si="5"/>
        <v>12.169446237143223</v>
      </c>
      <c r="K14" s="1">
        <f t="shared" si="6"/>
        <v>0.013861759854495954</v>
      </c>
      <c r="O14" s="14">
        <f t="shared" si="0"/>
        <v>68.34375000000001</v>
      </c>
      <c r="P14" s="13">
        <f t="shared" si="1"/>
        <v>18.713375803569537</v>
      </c>
      <c r="AT14" s="17"/>
    </row>
    <row r="15" spans="4:16" ht="12.75">
      <c r="D15" s="2">
        <f t="shared" si="2"/>
        <v>102.51562500000001</v>
      </c>
      <c r="E15" s="5">
        <f t="shared" si="7"/>
        <v>0.10251562500000001</v>
      </c>
      <c r="F15" s="1">
        <f t="shared" si="3"/>
        <v>0.1811726128972437</v>
      </c>
      <c r="H15" s="1">
        <f t="shared" si="4"/>
        <v>25.364165805614117</v>
      </c>
      <c r="I15" s="1">
        <f t="shared" si="8"/>
        <v>11.27296258027294</v>
      </c>
      <c r="J15" s="1">
        <f t="shared" si="5"/>
        <v>10.996336002704894</v>
      </c>
      <c r="K15" s="1">
        <f t="shared" si="6"/>
        <v>0.018788270967121566</v>
      </c>
      <c r="O15" s="14">
        <f t="shared" si="0"/>
        <v>102.51562500000001</v>
      </c>
      <c r="P15" s="13">
        <f t="shared" si="1"/>
        <v>25.364165805614117</v>
      </c>
    </row>
    <row r="16" spans="3:16" ht="12.75">
      <c r="C16" t="s">
        <v>33</v>
      </c>
      <c r="D16" s="2">
        <f t="shared" si="2"/>
        <v>153.77343750000003</v>
      </c>
      <c r="E16" s="5">
        <f t="shared" si="7"/>
        <v>0.15377343750000003</v>
      </c>
      <c r="F16" s="1">
        <f t="shared" si="3"/>
        <v>0.24556190401977043</v>
      </c>
      <c r="H16" s="1">
        <f t="shared" si="4"/>
        <v>34.37866656276786</v>
      </c>
      <c r="I16" s="1">
        <f t="shared" si="8"/>
        <v>15.279407361230161</v>
      </c>
      <c r="J16" s="1">
        <f t="shared" si="5"/>
        <v>9.93631124441122</v>
      </c>
      <c r="K16" s="1">
        <f t="shared" si="6"/>
        <v>0.025465678935383602</v>
      </c>
      <c r="O16" s="14">
        <f t="shared" si="0"/>
        <v>153.77343750000003</v>
      </c>
      <c r="P16" s="13">
        <f t="shared" si="1"/>
        <v>34.37866656276786</v>
      </c>
    </row>
    <row r="17" spans="4:16" ht="12.75">
      <c r="D17" s="2">
        <f t="shared" si="2"/>
        <v>230.66015625000003</v>
      </c>
      <c r="E17" s="5">
        <f t="shared" si="7"/>
        <v>0.23066015625000003</v>
      </c>
      <c r="F17" s="1">
        <f t="shared" si="3"/>
        <v>0.33283534272376947</v>
      </c>
      <c r="H17" s="1">
        <f t="shared" si="4"/>
        <v>46.59694798132772</v>
      </c>
      <c r="I17" s="1">
        <f t="shared" si="8"/>
        <v>20.709754658367878</v>
      </c>
      <c r="J17" s="1">
        <f t="shared" si="5"/>
        <v>8.978470748941008</v>
      </c>
      <c r="K17" s="1">
        <f t="shared" si="6"/>
        <v>0.03451625776394646</v>
      </c>
      <c r="O17" s="14">
        <f t="shared" si="0"/>
        <v>230.66015625000003</v>
      </c>
      <c r="P17" s="13">
        <f t="shared" si="1"/>
        <v>46.59694798132772</v>
      </c>
    </row>
    <row r="18" spans="4:43" ht="12.75">
      <c r="D18" s="2">
        <f t="shared" si="2"/>
        <v>345.99023437500006</v>
      </c>
      <c r="E18" s="5">
        <f t="shared" si="7"/>
        <v>0.34599023437500004</v>
      </c>
      <c r="F18" s="1">
        <f t="shared" si="3"/>
        <v>0.45112602383605116</v>
      </c>
      <c r="H18" s="1">
        <f t="shared" si="4"/>
        <v>63.15764333704716</v>
      </c>
      <c r="I18" s="1">
        <f t="shared" si="8"/>
        <v>28.070063705354293</v>
      </c>
      <c r="J18" s="1">
        <f t="shared" si="5"/>
        <v>8.112964158095478</v>
      </c>
      <c r="K18" s="1">
        <f t="shared" si="6"/>
        <v>0.04678343950892382</v>
      </c>
      <c r="O18" s="14">
        <f t="shared" si="0"/>
        <v>345.99023437500006</v>
      </c>
      <c r="P18" s="13">
        <f t="shared" si="1"/>
        <v>63.15764333704716</v>
      </c>
      <c r="AH18" s="2"/>
      <c r="AM18" s="2"/>
      <c r="AQ18" s="15"/>
    </row>
    <row r="19" spans="3:46" ht="12.75">
      <c r="C19" t="s">
        <v>40</v>
      </c>
      <c r="D19" s="2">
        <f t="shared" si="2"/>
        <v>518.9853515625</v>
      </c>
      <c r="E19" s="5">
        <f t="shared" si="7"/>
        <v>0.5189853515625</v>
      </c>
      <c r="F19" s="1">
        <f t="shared" si="3"/>
        <v>0.6114575685281975</v>
      </c>
      <c r="H19" s="1">
        <f t="shared" si="4"/>
        <v>85.60405959394765</v>
      </c>
      <c r="I19" s="1">
        <f t="shared" si="8"/>
        <v>38.04624870842118</v>
      </c>
      <c r="J19" s="1">
        <f t="shared" si="5"/>
        <v>7.330890668469932</v>
      </c>
      <c r="K19" s="1">
        <f t="shared" si="6"/>
        <v>0.0634104145140353</v>
      </c>
      <c r="O19" s="14">
        <f t="shared" si="0"/>
        <v>518.9853515625</v>
      </c>
      <c r="P19" s="13">
        <f t="shared" si="1"/>
        <v>85.60405959394765</v>
      </c>
      <c r="AT19" s="1"/>
    </row>
    <row r="20" spans="3:46" ht="12.75">
      <c r="C20" t="s">
        <v>34</v>
      </c>
      <c r="D20" s="2">
        <f t="shared" si="2"/>
        <v>778.47802734375</v>
      </c>
      <c r="E20" s="5">
        <f t="shared" si="7"/>
        <v>0.77847802734375</v>
      </c>
      <c r="F20" s="1">
        <f t="shared" si="3"/>
        <v>0.828771426066725</v>
      </c>
      <c r="H20" s="1">
        <f t="shared" si="4"/>
        <v>116.02799964934151</v>
      </c>
      <c r="I20" s="1">
        <f t="shared" si="8"/>
        <v>51.567999844151785</v>
      </c>
      <c r="J20" s="1">
        <f t="shared" si="5"/>
        <v>6.6242074962741455</v>
      </c>
      <c r="K20" s="1">
        <f t="shared" si="6"/>
        <v>0.08594666640691964</v>
      </c>
      <c r="O20" s="14">
        <f t="shared" si="0"/>
        <v>778.47802734375</v>
      </c>
      <c r="P20" s="13">
        <f t="shared" si="1"/>
        <v>116.02799964934151</v>
      </c>
      <c r="AT20" s="1"/>
    </row>
    <row r="21" spans="1:46" ht="12.75">
      <c r="A21" t="s">
        <v>59</v>
      </c>
      <c r="C21" t="s">
        <v>32</v>
      </c>
      <c r="D21" s="2">
        <f t="shared" si="2"/>
        <v>1167.717041015625</v>
      </c>
      <c r="E21" s="5">
        <f t="shared" si="7"/>
        <v>1.167717041015625</v>
      </c>
      <c r="F21" s="1">
        <f t="shared" si="3"/>
        <v>1.1233192816927215</v>
      </c>
      <c r="H21" s="1">
        <f t="shared" si="4"/>
        <v>157.264699436981</v>
      </c>
      <c r="I21" s="1">
        <f t="shared" si="8"/>
        <v>69.89542197199155</v>
      </c>
      <c r="J21" s="1">
        <f t="shared" si="5"/>
        <v>5.98564716596067</v>
      </c>
      <c r="K21" s="1">
        <f t="shared" si="6"/>
        <v>0.11649236995331926</v>
      </c>
      <c r="O21" s="14">
        <f t="shared" si="0"/>
        <v>1167.717041015625</v>
      </c>
      <c r="P21" s="13">
        <f t="shared" si="1"/>
        <v>157.264699436981</v>
      </c>
      <c r="AT21" s="1"/>
    </row>
    <row r="22" spans="3:46" ht="12.75">
      <c r="C22" t="s">
        <v>23</v>
      </c>
      <c r="D22" s="2">
        <f t="shared" si="2"/>
        <v>1751.5755615234375</v>
      </c>
      <c r="E22" s="5">
        <f t="shared" si="7"/>
        <v>1.7515755615234374</v>
      </c>
      <c r="F22" s="1">
        <f t="shared" si="3"/>
        <v>1.5225503304466723</v>
      </c>
      <c r="H22" s="1">
        <f t="shared" si="4"/>
        <v>213.15704626253412</v>
      </c>
      <c r="I22" s="1">
        <f t="shared" si="8"/>
        <v>94.73646500557072</v>
      </c>
      <c r="J22" s="1">
        <f t="shared" si="5"/>
        <v>5.408642772063652</v>
      </c>
      <c r="K22" s="1">
        <f t="shared" si="6"/>
        <v>0.15789410834261786</v>
      </c>
      <c r="O22" s="14">
        <f t="shared" si="0"/>
        <v>1751.5755615234375</v>
      </c>
      <c r="P22" s="13">
        <f t="shared" si="1"/>
        <v>213.15704626253412</v>
      </c>
      <c r="AT22" s="1"/>
    </row>
    <row r="23" spans="3:46" ht="12.75">
      <c r="C23" t="s">
        <v>24</v>
      </c>
      <c r="D23" s="2">
        <f t="shared" si="2"/>
        <v>2627.3633422851562</v>
      </c>
      <c r="E23" s="5">
        <f t="shared" si="7"/>
        <v>2.627363342285156</v>
      </c>
      <c r="F23" s="1">
        <f t="shared" si="3"/>
        <v>2.0636692937826666</v>
      </c>
      <c r="H23" s="1">
        <f t="shared" si="4"/>
        <v>288.9137011295733</v>
      </c>
      <c r="I23" s="1">
        <f t="shared" si="8"/>
        <v>128.40608939092147</v>
      </c>
      <c r="J23" s="1">
        <f t="shared" si="5"/>
        <v>4.88726044564662</v>
      </c>
      <c r="K23" s="1">
        <f t="shared" si="6"/>
        <v>0.21401014898486911</v>
      </c>
      <c r="O23" s="14">
        <f t="shared" si="0"/>
        <v>2627.3633422851562</v>
      </c>
      <c r="P23" s="13">
        <f t="shared" si="1"/>
        <v>288.9137011295733</v>
      </c>
      <c r="AH23" s="2"/>
      <c r="AM23" s="2"/>
      <c r="AT23" s="1"/>
    </row>
    <row r="24" spans="4:46" ht="12.75">
      <c r="D24" s="2">
        <f t="shared" si="2"/>
        <v>3941.0450134277344</v>
      </c>
      <c r="E24" s="5">
        <f t="shared" si="7"/>
        <v>3.9410450134277344</v>
      </c>
      <c r="F24" s="1">
        <f t="shared" si="3"/>
        <v>2.797103562975197</v>
      </c>
      <c r="H24" s="1">
        <f t="shared" si="4"/>
        <v>391.59449881652756</v>
      </c>
      <c r="I24" s="1">
        <f t="shared" si="8"/>
        <v>174.04199947401224</v>
      </c>
      <c r="J24" s="1">
        <f t="shared" si="5"/>
        <v>4.41613833084943</v>
      </c>
      <c r="K24" s="1">
        <f t="shared" si="6"/>
        <v>0.29006999912335374</v>
      </c>
      <c r="O24" s="14">
        <f t="shared" si="0"/>
        <v>3941.0450134277344</v>
      </c>
      <c r="P24" s="13">
        <f t="shared" si="1"/>
        <v>391.59449881652756</v>
      </c>
      <c r="AT24" s="1"/>
    </row>
    <row r="25" spans="4:16" ht="12.75">
      <c r="D25" s="2">
        <f t="shared" si="2"/>
        <v>5911.567520141602</v>
      </c>
      <c r="E25" s="5">
        <f t="shared" si="7"/>
        <v>5.911567520141602</v>
      </c>
      <c r="F25" s="1">
        <f t="shared" si="3"/>
        <v>3.7912025757129357</v>
      </c>
      <c r="H25" s="1">
        <f t="shared" si="4"/>
        <v>530.768360599811</v>
      </c>
      <c r="I25" s="1">
        <f t="shared" si="8"/>
        <v>235.89704915547156</v>
      </c>
      <c r="J25" s="1">
        <f t="shared" si="5"/>
        <v>3.9904314439737814</v>
      </c>
      <c r="K25" s="1">
        <f t="shared" si="6"/>
        <v>0.3931617485924526</v>
      </c>
      <c r="O25" s="14">
        <f t="shared" si="0"/>
        <v>5911.567520141602</v>
      </c>
      <c r="P25" s="13">
        <f t="shared" si="1"/>
        <v>530.768360599811</v>
      </c>
    </row>
    <row r="26" spans="4:16" ht="12.75">
      <c r="D26" s="2"/>
      <c r="E26" s="5"/>
      <c r="H26" s="1"/>
      <c r="I26" s="1"/>
      <c r="J26" s="1"/>
      <c r="K26" s="1"/>
      <c r="O26" s="14"/>
      <c r="P26" s="13"/>
    </row>
    <row r="27" spans="1:11" s="18" customFormat="1" ht="12.75">
      <c r="A27" s="18" t="s">
        <v>90</v>
      </c>
      <c r="E27" s="20"/>
      <c r="F27" s="19"/>
      <c r="G27" s="19"/>
      <c r="H27" s="19"/>
      <c r="I27" s="19"/>
      <c r="J27" s="19"/>
      <c r="K27" s="19"/>
    </row>
    <row r="28" spans="1:18" s="9" customFormat="1" ht="12.75">
      <c r="A28" s="8" t="s">
        <v>35</v>
      </c>
      <c r="B28" s="8" t="s">
        <v>35</v>
      </c>
      <c r="C28" s="8" t="s">
        <v>35</v>
      </c>
      <c r="D28" s="8" t="s">
        <v>35</v>
      </c>
      <c r="E28" s="8" t="s">
        <v>35</v>
      </c>
      <c r="F28" s="8" t="s">
        <v>35</v>
      </c>
      <c r="G28" s="8"/>
      <c r="H28" s="8" t="s">
        <v>35</v>
      </c>
      <c r="I28" s="8" t="s">
        <v>35</v>
      </c>
      <c r="J28" s="8" t="s">
        <v>35</v>
      </c>
      <c r="K28" s="8" t="s">
        <v>35</v>
      </c>
      <c r="R28" s="18" t="s">
        <v>191</v>
      </c>
    </row>
    <row r="29" spans="1:11" s="9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8:16" ht="12.75">
      <c r="H30" s="1"/>
      <c r="I30" s="1"/>
      <c r="J30" s="1"/>
      <c r="K30" s="1"/>
      <c r="O30" s="13" t="str">
        <f>E7</f>
        <v>BMkg</v>
      </c>
      <c r="P30" s="13" t="str">
        <f>P7</f>
        <v>RMR</v>
      </c>
    </row>
    <row r="31" spans="3:16" ht="12.75">
      <c r="C31" t="s">
        <v>30</v>
      </c>
      <c r="E31" s="2">
        <v>5</v>
      </c>
      <c r="F31" s="1">
        <f aca="true" t="shared" si="9" ref="F31:F48">E31^0.75</f>
        <v>3.3437015248821096</v>
      </c>
      <c r="H31" s="1">
        <f aca="true" t="shared" si="10" ref="H31:H48">H$3*70*F31</f>
        <v>468.11821348349537</v>
      </c>
      <c r="I31" s="1">
        <f aca="true" t="shared" si="11" ref="I31:I48">H31/(4.5*0.01*I$3)</f>
        <v>208.05253932599794</v>
      </c>
      <c r="J31" s="1">
        <f aca="true" t="shared" si="12" ref="J31:J48">100*I31/(1000*E31)</f>
        <v>4.161050786519959</v>
      </c>
      <c r="K31" s="1">
        <f aca="true" t="shared" si="13" ref="K31:K48">I31/(K$3*60)</f>
        <v>0.34675423220999657</v>
      </c>
      <c r="O31" s="2">
        <f aca="true" t="shared" si="14" ref="O31:O48">E31</f>
        <v>5</v>
      </c>
      <c r="P31" s="2">
        <f aca="true" t="shared" si="15" ref="P31:P48">H31</f>
        <v>468.11821348349537</v>
      </c>
    </row>
    <row r="32" spans="3:16" ht="12.75">
      <c r="C32" t="s">
        <v>31</v>
      </c>
      <c r="E32" s="2">
        <f aca="true" t="shared" si="16" ref="E32:E48">1.5*E31</f>
        <v>7.5</v>
      </c>
      <c r="F32" s="1">
        <f t="shared" si="9"/>
        <v>4.532063096035151</v>
      </c>
      <c r="H32" s="1">
        <f t="shared" si="10"/>
        <v>634.4888334449212</v>
      </c>
      <c r="I32" s="1">
        <f t="shared" si="11"/>
        <v>281.9950370866316</v>
      </c>
      <c r="J32" s="1">
        <f t="shared" si="12"/>
        <v>3.759933827821755</v>
      </c>
      <c r="K32" s="1">
        <f t="shared" si="13"/>
        <v>0.46999172847771936</v>
      </c>
      <c r="O32" s="2">
        <f t="shared" si="14"/>
        <v>7.5</v>
      </c>
      <c r="P32" s="2">
        <f t="shared" si="15"/>
        <v>634.4888334449212</v>
      </c>
    </row>
    <row r="33" spans="5:16" ht="12.75">
      <c r="E33" s="2">
        <f t="shared" si="16"/>
        <v>11.25</v>
      </c>
      <c r="F33" s="1">
        <f t="shared" si="9"/>
        <v>6.142771941095401</v>
      </c>
      <c r="H33" s="1">
        <f t="shared" si="10"/>
        <v>859.9880717533562</v>
      </c>
      <c r="I33" s="1">
        <f t="shared" si="11"/>
        <v>382.2169207792694</v>
      </c>
      <c r="J33" s="1">
        <f t="shared" si="12"/>
        <v>3.3974837402601725</v>
      </c>
      <c r="K33" s="1">
        <f t="shared" si="13"/>
        <v>0.6370282012987823</v>
      </c>
      <c r="O33" s="2">
        <f t="shared" si="14"/>
        <v>11.25</v>
      </c>
      <c r="P33" s="2">
        <f t="shared" si="15"/>
        <v>859.9880717533562</v>
      </c>
    </row>
    <row r="34" spans="3:16" ht="12.75">
      <c r="C34" t="s">
        <v>29</v>
      </c>
      <c r="E34" s="2">
        <f t="shared" si="16"/>
        <v>16.875</v>
      </c>
      <c r="F34" s="1">
        <f t="shared" si="9"/>
        <v>8.325931550538206</v>
      </c>
      <c r="H34" s="1">
        <f t="shared" si="10"/>
        <v>1165.6304170753488</v>
      </c>
      <c r="I34" s="1">
        <f t="shared" si="11"/>
        <v>518.0579631445994</v>
      </c>
      <c r="J34" s="1">
        <f t="shared" si="12"/>
        <v>3.0699731149309595</v>
      </c>
      <c r="K34" s="1">
        <f t="shared" si="13"/>
        <v>0.8634299385743324</v>
      </c>
      <c r="O34" s="2">
        <f t="shared" si="14"/>
        <v>16.875</v>
      </c>
      <c r="P34" s="2">
        <f t="shared" si="15"/>
        <v>1165.6304170753488</v>
      </c>
    </row>
    <row r="35" spans="5:16" ht="12.75">
      <c r="E35" s="2">
        <f t="shared" si="16"/>
        <v>25.3125</v>
      </c>
      <c r="F35" s="1">
        <f t="shared" si="9"/>
        <v>11.284992646477123</v>
      </c>
      <c r="H35" s="1">
        <f t="shared" si="10"/>
        <v>1579.8989705067972</v>
      </c>
      <c r="I35" s="1">
        <f t="shared" si="11"/>
        <v>702.1773202252432</v>
      </c>
      <c r="J35" s="1">
        <f t="shared" si="12"/>
        <v>2.774033857679973</v>
      </c>
      <c r="K35" s="1">
        <f t="shared" si="13"/>
        <v>1.1702955337087386</v>
      </c>
      <c r="O35" s="2">
        <f t="shared" si="14"/>
        <v>25.3125</v>
      </c>
      <c r="P35" s="2">
        <f t="shared" si="15"/>
        <v>1579.8989705067972</v>
      </c>
    </row>
    <row r="36" spans="3:16" ht="12.75">
      <c r="C36" t="s">
        <v>28</v>
      </c>
      <c r="E36" s="2">
        <f t="shared" si="16"/>
        <v>37.96875</v>
      </c>
      <c r="F36" s="1">
        <f t="shared" si="9"/>
        <v>15.29571294911864</v>
      </c>
      <c r="H36" s="1">
        <f t="shared" si="10"/>
        <v>2141.3998128766098</v>
      </c>
      <c r="I36" s="1">
        <f t="shared" si="11"/>
        <v>951.7332501673822</v>
      </c>
      <c r="J36" s="1">
        <f t="shared" si="12"/>
        <v>2.506622551881171</v>
      </c>
      <c r="K36" s="1">
        <f t="shared" si="13"/>
        <v>1.5862220836123035</v>
      </c>
      <c r="O36" s="2">
        <f t="shared" si="14"/>
        <v>37.96875</v>
      </c>
      <c r="P36" s="2">
        <f t="shared" si="15"/>
        <v>2141.3998128766098</v>
      </c>
    </row>
    <row r="37" spans="5:16" ht="12.75">
      <c r="E37" s="2">
        <f t="shared" si="16"/>
        <v>56.953125</v>
      </c>
      <c r="F37" s="1">
        <f t="shared" si="9"/>
        <v>20.731855301196976</v>
      </c>
      <c r="H37" s="1">
        <f t="shared" si="10"/>
        <v>2902.4597421675767</v>
      </c>
      <c r="I37" s="1">
        <f t="shared" si="11"/>
        <v>1289.982107630034</v>
      </c>
      <c r="J37" s="1">
        <f t="shared" si="12"/>
        <v>2.264989160173448</v>
      </c>
      <c r="K37" s="1">
        <f t="shared" si="13"/>
        <v>2.14997017938339</v>
      </c>
      <c r="O37" s="2">
        <f t="shared" si="14"/>
        <v>56.953125</v>
      </c>
      <c r="P37" s="2">
        <f t="shared" si="15"/>
        <v>2902.4597421675767</v>
      </c>
    </row>
    <row r="38" spans="3:16" ht="12.75">
      <c r="C38" t="s">
        <v>36</v>
      </c>
      <c r="E38" s="2">
        <f t="shared" si="16"/>
        <v>85.4296875</v>
      </c>
      <c r="F38" s="1">
        <f t="shared" si="9"/>
        <v>28.100018983066455</v>
      </c>
      <c r="H38" s="1">
        <f t="shared" si="10"/>
        <v>3934.002657629304</v>
      </c>
      <c r="I38" s="1">
        <f t="shared" si="11"/>
        <v>1748.445625613024</v>
      </c>
      <c r="J38" s="1">
        <f t="shared" si="12"/>
        <v>2.0466487432873075</v>
      </c>
      <c r="K38" s="1">
        <f t="shared" si="13"/>
        <v>2.9140760426883734</v>
      </c>
      <c r="O38" s="2">
        <f t="shared" si="14"/>
        <v>85.4296875</v>
      </c>
      <c r="P38" s="2">
        <f t="shared" si="15"/>
        <v>3934.002657629304</v>
      </c>
    </row>
    <row r="39" spans="3:16" ht="12.75">
      <c r="C39" t="s">
        <v>36</v>
      </c>
      <c r="E39" s="2">
        <f t="shared" si="16"/>
        <v>128.14453125</v>
      </c>
      <c r="F39" s="1">
        <f t="shared" si="9"/>
        <v>38.08685018186028</v>
      </c>
      <c r="H39" s="1">
        <f t="shared" si="10"/>
        <v>5332.159025460439</v>
      </c>
      <c r="I39" s="1">
        <f t="shared" si="11"/>
        <v>2369.848455760195</v>
      </c>
      <c r="J39" s="1">
        <f t="shared" si="12"/>
        <v>1.8493559051199815</v>
      </c>
      <c r="K39" s="1">
        <f t="shared" si="13"/>
        <v>3.949747426266992</v>
      </c>
      <c r="O39" s="2">
        <f t="shared" si="14"/>
        <v>128.14453125</v>
      </c>
      <c r="P39" s="2">
        <f t="shared" si="15"/>
        <v>5332.159025460439</v>
      </c>
    </row>
    <row r="40" spans="5:16" ht="12.75">
      <c r="E40" s="2">
        <f t="shared" si="16"/>
        <v>192.216796875</v>
      </c>
      <c r="F40" s="1">
        <f t="shared" si="9"/>
        <v>51.62303120327542</v>
      </c>
      <c r="H40" s="1">
        <f t="shared" si="10"/>
        <v>7227.224368458558</v>
      </c>
      <c r="I40" s="1">
        <f t="shared" si="11"/>
        <v>3212.0997193149146</v>
      </c>
      <c r="J40" s="1">
        <f t="shared" si="12"/>
        <v>1.671081701254114</v>
      </c>
      <c r="K40" s="1">
        <f t="shared" si="13"/>
        <v>5.353499532191524</v>
      </c>
      <c r="O40" s="2">
        <f t="shared" si="14"/>
        <v>192.216796875</v>
      </c>
      <c r="P40" s="2">
        <f t="shared" si="15"/>
        <v>7227.224368458558</v>
      </c>
    </row>
    <row r="41" spans="3:16" ht="12.75">
      <c r="C41" t="s">
        <v>37</v>
      </c>
      <c r="E41" s="2">
        <f t="shared" si="16"/>
        <v>288.3251953125</v>
      </c>
      <c r="F41" s="1">
        <f t="shared" si="9"/>
        <v>69.97001164153978</v>
      </c>
      <c r="H41" s="1">
        <f t="shared" si="10"/>
        <v>9795.801629815569</v>
      </c>
      <c r="I41" s="1">
        <f t="shared" si="11"/>
        <v>4353.689613251364</v>
      </c>
      <c r="J41" s="1">
        <f t="shared" si="12"/>
        <v>1.5099927734489649</v>
      </c>
      <c r="K41" s="1">
        <f t="shared" si="13"/>
        <v>7.25614935541894</v>
      </c>
      <c r="O41" s="2">
        <f t="shared" si="14"/>
        <v>288.3251953125</v>
      </c>
      <c r="P41" s="2">
        <f t="shared" si="15"/>
        <v>9795.801629815569</v>
      </c>
    </row>
    <row r="42" spans="3:16" ht="12.75">
      <c r="C42" t="s">
        <v>38</v>
      </c>
      <c r="E42" s="2">
        <f t="shared" si="16"/>
        <v>432.48779296875</v>
      </c>
      <c r="F42" s="1">
        <f t="shared" si="9"/>
        <v>94.8375640678493</v>
      </c>
      <c r="H42" s="1">
        <f t="shared" si="10"/>
        <v>13277.258969498902</v>
      </c>
      <c r="I42" s="1">
        <f t="shared" si="11"/>
        <v>5901.003986443957</v>
      </c>
      <c r="J42" s="1">
        <f t="shared" si="12"/>
        <v>1.3644324955248717</v>
      </c>
      <c r="K42" s="1">
        <f t="shared" si="13"/>
        <v>9.835006644073262</v>
      </c>
      <c r="O42" s="2">
        <f t="shared" si="14"/>
        <v>432.48779296875</v>
      </c>
      <c r="P42" s="2">
        <f t="shared" si="15"/>
        <v>13277.258969498902</v>
      </c>
    </row>
    <row r="43" spans="3:16" ht="12.75">
      <c r="C43" t="s">
        <v>39</v>
      </c>
      <c r="E43" s="2">
        <f t="shared" si="16"/>
        <v>648.731689453125</v>
      </c>
      <c r="F43" s="1">
        <f t="shared" si="9"/>
        <v>128.54311936377843</v>
      </c>
      <c r="H43" s="1">
        <f t="shared" si="10"/>
        <v>17996.03671092898</v>
      </c>
      <c r="I43" s="1">
        <f t="shared" si="11"/>
        <v>7998.238538190658</v>
      </c>
      <c r="J43" s="1">
        <f t="shared" si="12"/>
        <v>1.2329039367466543</v>
      </c>
      <c r="K43" s="1">
        <f t="shared" si="13"/>
        <v>13.330397563651097</v>
      </c>
      <c r="O43" s="2">
        <f t="shared" si="14"/>
        <v>648.731689453125</v>
      </c>
      <c r="P43" s="2">
        <f t="shared" si="15"/>
        <v>17996.03671092898</v>
      </c>
    </row>
    <row r="44" spans="5:16" ht="12.75">
      <c r="E44" s="2">
        <f t="shared" si="16"/>
        <v>973.0975341796875</v>
      </c>
      <c r="F44" s="1">
        <f t="shared" si="9"/>
        <v>174.2277303110545</v>
      </c>
      <c r="H44" s="1">
        <f t="shared" si="10"/>
        <v>24391.88224354763</v>
      </c>
      <c r="I44" s="1">
        <f t="shared" si="11"/>
        <v>10840.836552687835</v>
      </c>
      <c r="J44" s="1">
        <f t="shared" si="12"/>
        <v>1.1140544675027424</v>
      </c>
      <c r="K44" s="1">
        <f t="shared" si="13"/>
        <v>18.06806092114639</v>
      </c>
      <c r="O44" s="2">
        <f t="shared" si="14"/>
        <v>973.0975341796875</v>
      </c>
      <c r="P44" s="2">
        <f t="shared" si="15"/>
        <v>24391.88224354763</v>
      </c>
    </row>
    <row r="45" spans="5:16" ht="12.75">
      <c r="E45" s="2">
        <f t="shared" si="16"/>
        <v>1459.6463012695312</v>
      </c>
      <c r="F45" s="1">
        <f t="shared" si="9"/>
        <v>236.1487892901967</v>
      </c>
      <c r="H45" s="1">
        <f t="shared" si="10"/>
        <v>33060.83050062754</v>
      </c>
      <c r="I45" s="1">
        <f t="shared" si="11"/>
        <v>14693.70244472335</v>
      </c>
      <c r="J45" s="1">
        <f t="shared" si="12"/>
        <v>1.0066618489659764</v>
      </c>
      <c r="K45" s="1">
        <f t="shared" si="13"/>
        <v>24.489504074538917</v>
      </c>
      <c r="O45" s="2">
        <f t="shared" si="14"/>
        <v>1459.6463012695312</v>
      </c>
      <c r="P45" s="2">
        <f t="shared" si="15"/>
        <v>33060.83050062754</v>
      </c>
    </row>
    <row r="46" spans="3:16" ht="12.75">
      <c r="C46" t="s">
        <v>42</v>
      </c>
      <c r="E46" s="2">
        <f t="shared" si="16"/>
        <v>2189.469451904297</v>
      </c>
      <c r="F46" s="1">
        <f t="shared" si="9"/>
        <v>320.0767787289913</v>
      </c>
      <c r="H46" s="1">
        <f t="shared" si="10"/>
        <v>44810.749022058786</v>
      </c>
      <c r="I46" s="1">
        <f t="shared" si="11"/>
        <v>19915.88845424835</v>
      </c>
      <c r="J46" s="1">
        <f t="shared" si="12"/>
        <v>0.9096216636832477</v>
      </c>
      <c r="K46" s="1">
        <f t="shared" si="13"/>
        <v>33.19314742374725</v>
      </c>
      <c r="O46" s="2">
        <f t="shared" si="14"/>
        <v>2189.469451904297</v>
      </c>
      <c r="P46" s="2">
        <f t="shared" si="15"/>
        <v>44810.749022058786</v>
      </c>
    </row>
    <row r="47" spans="5:16" ht="12.75">
      <c r="E47" s="2">
        <f t="shared" si="16"/>
        <v>3284.2041778564453</v>
      </c>
      <c r="F47" s="1">
        <f t="shared" si="9"/>
        <v>433.8330278527521</v>
      </c>
      <c r="H47" s="1">
        <f t="shared" si="10"/>
        <v>60736.62389938529</v>
      </c>
      <c r="I47" s="1">
        <f t="shared" si="11"/>
        <v>26994.055066393463</v>
      </c>
      <c r="J47" s="1">
        <f t="shared" si="12"/>
        <v>0.8219359578311026</v>
      </c>
      <c r="K47" s="1">
        <f t="shared" si="13"/>
        <v>44.99009177732244</v>
      </c>
      <c r="O47" s="2">
        <f t="shared" si="14"/>
        <v>3284.2041778564453</v>
      </c>
      <c r="P47" s="2">
        <f t="shared" si="15"/>
        <v>60736.62389938529</v>
      </c>
    </row>
    <row r="48" spans="3:16" ht="12.75">
      <c r="C48" t="s">
        <v>41</v>
      </c>
      <c r="E48" s="2">
        <f t="shared" si="16"/>
        <v>4926.306266784668</v>
      </c>
      <c r="F48" s="1">
        <f t="shared" si="9"/>
        <v>588.0185897998089</v>
      </c>
      <c r="H48" s="1">
        <f t="shared" si="10"/>
        <v>82322.60257197324</v>
      </c>
      <c r="I48" s="1">
        <f t="shared" si="11"/>
        <v>36587.82336532144</v>
      </c>
      <c r="J48" s="1">
        <f t="shared" si="12"/>
        <v>0.7427029783351615</v>
      </c>
      <c r="K48" s="1">
        <f t="shared" si="13"/>
        <v>60.97970560886907</v>
      </c>
      <c r="O48" s="2">
        <f t="shared" si="14"/>
        <v>4926.306266784668</v>
      </c>
      <c r="P48" s="2">
        <f t="shared" si="15"/>
        <v>82322.60257197324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H33" sqref="H33"/>
    </sheetView>
  </sheetViews>
  <sheetFormatPr defaultColWidth="9.140625" defaultRowHeight="12.75"/>
  <cols>
    <col min="10" max="10" width="14.00390625" style="0" customWidth="1"/>
    <col min="15" max="15" width="14.28125" style="0" customWidth="1"/>
  </cols>
  <sheetData>
    <row r="1" s="3" customFormat="1" ht="12.75"/>
    <row r="2" spans="1:9" s="3" customFormat="1" ht="12.75">
      <c r="A2" s="22"/>
      <c r="B2" s="22"/>
      <c r="C2" s="22"/>
      <c r="D2" s="22"/>
      <c r="E2" s="22"/>
      <c r="F2" s="22"/>
      <c r="G2" s="22"/>
      <c r="H2" s="22"/>
      <c r="I2" s="22"/>
    </row>
    <row r="3" spans="1:9" s="3" customFormat="1" ht="12.75">
      <c r="A3" s="22"/>
      <c r="B3" s="21" t="s">
        <v>94</v>
      </c>
      <c r="C3" s="22"/>
      <c r="D3" s="22"/>
      <c r="E3" s="22"/>
      <c r="F3" s="22"/>
      <c r="G3" s="22"/>
      <c r="H3" s="22"/>
      <c r="I3" s="22"/>
    </row>
    <row r="4" spans="1:9" s="3" customFormat="1" ht="12.75">
      <c r="A4" s="22"/>
      <c r="B4" s="21" t="s">
        <v>95</v>
      </c>
      <c r="C4" s="22"/>
      <c r="D4" s="22"/>
      <c r="E4" s="22"/>
      <c r="F4" s="22"/>
      <c r="G4" s="22"/>
      <c r="H4" s="22"/>
      <c r="I4" s="22"/>
    </row>
    <row r="5" spans="1:9" s="3" customFormat="1" ht="12.75">
      <c r="A5" s="22"/>
      <c r="B5" s="21" t="s">
        <v>96</v>
      </c>
      <c r="C5" s="22"/>
      <c r="D5" s="22"/>
      <c r="E5" s="22"/>
      <c r="F5" s="22"/>
      <c r="G5" s="22"/>
      <c r="H5" s="22"/>
      <c r="I5" s="22"/>
    </row>
    <row r="6" spans="1:9" s="3" customFormat="1" ht="12.75">
      <c r="A6" s="22"/>
      <c r="B6" s="22"/>
      <c r="C6" s="22"/>
      <c r="D6" s="22"/>
      <c r="E6" s="22"/>
      <c r="F6" s="22"/>
      <c r="G6" s="22"/>
      <c r="H6" s="22"/>
      <c r="I6" s="22"/>
    </row>
    <row r="7" s="3" customFormat="1" ht="12.75"/>
    <row r="8" spans="1:19" ht="12.75">
      <c r="A8" s="25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5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5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ht="12.75">
      <c r="A11" s="3"/>
      <c r="B11" s="3"/>
      <c r="C11" s="16" t="s">
        <v>73</v>
      </c>
      <c r="D11" s="3"/>
      <c r="E11" s="3"/>
      <c r="F11" s="3"/>
      <c r="G11" s="3"/>
      <c r="H11" s="16" t="s">
        <v>74</v>
      </c>
      <c r="I11" s="3"/>
      <c r="J11" s="3"/>
      <c r="K11" s="3"/>
      <c r="L11" s="16" t="s">
        <v>84</v>
      </c>
      <c r="M11" s="3"/>
      <c r="N11" s="3"/>
      <c r="O11" s="3"/>
      <c r="Q11" s="31"/>
      <c r="R11" s="31"/>
      <c r="S11" s="31"/>
      <c r="T11" s="31"/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2" t="s">
        <v>108</v>
      </c>
      <c r="P12" s="31"/>
      <c r="Q12" s="31"/>
      <c r="R12" s="31"/>
      <c r="S12" s="31"/>
      <c r="T12" s="31"/>
    </row>
    <row r="13" spans="3:20" ht="12.75">
      <c r="C13" s="23">
        <v>0.001</v>
      </c>
      <c r="D13" s="23" t="s">
        <v>8</v>
      </c>
      <c r="E13" s="34" t="s">
        <v>63</v>
      </c>
      <c r="F13" s="23"/>
      <c r="H13" s="27">
        <f>C13</f>
        <v>0.001</v>
      </c>
      <c r="I13" s="27" t="s">
        <v>8</v>
      </c>
      <c r="J13" s="35" t="s">
        <v>63</v>
      </c>
      <c r="L13" s="23">
        <v>3</v>
      </c>
      <c r="M13" s="23" t="s">
        <v>76</v>
      </c>
      <c r="N13" s="23"/>
      <c r="O13" s="23"/>
      <c r="P13" s="31"/>
      <c r="R13" s="31"/>
      <c r="S13" s="31"/>
      <c r="T13" s="31"/>
    </row>
    <row r="14" spans="3:20" ht="12.75">
      <c r="C14" s="23">
        <v>4</v>
      </c>
      <c r="D14" s="23" t="s">
        <v>64</v>
      </c>
      <c r="E14" s="23"/>
      <c r="F14" s="23"/>
      <c r="H14" s="27">
        <f>C14</f>
        <v>4</v>
      </c>
      <c r="I14" s="27" t="s">
        <v>64</v>
      </c>
      <c r="J14" s="27"/>
      <c r="L14" s="29">
        <f>0.67*PI()*(0.5*L13)^3</f>
        <v>7.10392638792992</v>
      </c>
      <c r="M14" s="27" t="s">
        <v>83</v>
      </c>
      <c r="N14" s="27"/>
      <c r="O14" s="27"/>
      <c r="R14" s="31"/>
      <c r="S14" s="31"/>
      <c r="T14" s="31"/>
    </row>
    <row r="15" spans="3:20" ht="12.75">
      <c r="C15" s="23">
        <v>0.5</v>
      </c>
      <c r="D15" s="23" t="s">
        <v>67</v>
      </c>
      <c r="E15" s="23"/>
      <c r="F15" s="23"/>
      <c r="H15" s="27">
        <f>C15</f>
        <v>0.5</v>
      </c>
      <c r="I15" s="27" t="s">
        <v>67</v>
      </c>
      <c r="J15" s="27"/>
      <c r="L15" s="33">
        <v>0.4</v>
      </c>
      <c r="M15" s="23" t="s">
        <v>77</v>
      </c>
      <c r="N15" s="23"/>
      <c r="O15" s="23"/>
      <c r="Q15" s="31"/>
      <c r="R15" s="31"/>
      <c r="S15" s="31"/>
      <c r="T15" s="31"/>
    </row>
    <row r="16" spans="12:20" ht="12.75">
      <c r="L16" s="29">
        <f>L14*L15</f>
        <v>2.841570555171968</v>
      </c>
      <c r="M16" s="27" t="s">
        <v>78</v>
      </c>
      <c r="N16" s="27"/>
      <c r="O16" s="27"/>
      <c r="R16" s="31"/>
      <c r="S16" s="31"/>
      <c r="T16" s="31"/>
    </row>
    <row r="17" spans="12:20" ht="12.75">
      <c r="L17" s="27">
        <f>R26</f>
        <v>0.42</v>
      </c>
      <c r="M17" s="27" t="s">
        <v>106</v>
      </c>
      <c r="N17" s="27"/>
      <c r="O17" s="27"/>
      <c r="T17" s="31"/>
    </row>
    <row r="18" spans="12:20" ht="12.75">
      <c r="L18" s="24">
        <v>4</v>
      </c>
      <c r="M18" s="24" t="s">
        <v>102</v>
      </c>
      <c r="N18" s="24"/>
      <c r="O18" s="24"/>
      <c r="T18" s="31"/>
    </row>
    <row r="19" spans="12:21" ht="12.75">
      <c r="L19" s="29">
        <f>L16*L17*L18</f>
        <v>4.773838532688906</v>
      </c>
      <c r="M19" s="27" t="s">
        <v>79</v>
      </c>
      <c r="N19" s="27"/>
      <c r="O19" s="27"/>
      <c r="R19" s="37" t="s">
        <v>109</v>
      </c>
      <c r="S19" s="24"/>
      <c r="T19" s="24"/>
      <c r="U19" s="24"/>
    </row>
    <row r="20" spans="12:21" ht="12.75">
      <c r="L20" s="33">
        <v>0.5</v>
      </c>
      <c r="M20" s="23" t="s">
        <v>80</v>
      </c>
      <c r="N20" s="23"/>
      <c r="O20" s="23"/>
      <c r="R20" s="24" t="s">
        <v>101</v>
      </c>
      <c r="S20" s="24"/>
      <c r="T20" s="24"/>
      <c r="U20" s="24"/>
    </row>
    <row r="21" spans="18:21" ht="12.75">
      <c r="R21" s="24"/>
      <c r="S21" s="24"/>
      <c r="T21" s="24"/>
      <c r="U21" s="24"/>
    </row>
    <row r="22" spans="3:21" ht="12.75">
      <c r="C22" s="23">
        <v>20</v>
      </c>
      <c r="D22" s="23" t="s">
        <v>65</v>
      </c>
      <c r="E22" s="23"/>
      <c r="F22" s="23"/>
      <c r="H22" s="23">
        <v>1600</v>
      </c>
      <c r="I22" s="23" t="s">
        <v>65</v>
      </c>
      <c r="J22" s="23"/>
      <c r="L22" s="27">
        <f>H22</f>
        <v>1600</v>
      </c>
      <c r="M22" s="27" t="s">
        <v>65</v>
      </c>
      <c r="N22" s="27"/>
      <c r="O22" s="27"/>
      <c r="R22" s="24">
        <v>168</v>
      </c>
      <c r="S22" s="24" t="s">
        <v>0</v>
      </c>
      <c r="T22" s="24"/>
      <c r="U22" s="24"/>
    </row>
    <row r="23" spans="3:21" ht="12.75">
      <c r="C23" s="26">
        <f>$A9*70*(C22*0.001)^0.75</f>
        <v>7.445614255722986</v>
      </c>
      <c r="D23" s="27" t="s">
        <v>66</v>
      </c>
      <c r="E23" s="27"/>
      <c r="F23" s="27"/>
      <c r="H23" s="26">
        <f>$A9*70*(H22*0.001)^0.75</f>
        <v>199.16729392435937</v>
      </c>
      <c r="I23" s="27" t="s">
        <v>66</v>
      </c>
      <c r="J23" s="27"/>
      <c r="L23" s="26">
        <f>H23</f>
        <v>199.16729392435937</v>
      </c>
      <c r="M23" s="27" t="s">
        <v>66</v>
      </c>
      <c r="N23" s="27"/>
      <c r="O23" s="36"/>
      <c r="P23" s="31"/>
      <c r="R23" s="24">
        <v>100</v>
      </c>
      <c r="S23" s="24" t="s">
        <v>82</v>
      </c>
      <c r="T23" s="24"/>
      <c r="U23" s="24"/>
    </row>
    <row r="24" spans="3:21" ht="12.75">
      <c r="C24" s="27"/>
      <c r="D24" s="27"/>
      <c r="E24" s="27"/>
      <c r="F24" s="27"/>
      <c r="Q24" s="31"/>
      <c r="R24" s="24">
        <v>1.68</v>
      </c>
      <c r="S24" s="24" t="s">
        <v>103</v>
      </c>
      <c r="T24" s="24"/>
      <c r="U24" s="24"/>
    </row>
    <row r="25" spans="3:21" ht="12.75">
      <c r="C25" s="27">
        <f>C13*C14*C15</f>
        <v>0.002</v>
      </c>
      <c r="D25" s="27" t="s">
        <v>68</v>
      </c>
      <c r="E25" s="27"/>
      <c r="F25" s="27"/>
      <c r="H25" s="27">
        <f>H13*H14*H15</f>
        <v>0.002</v>
      </c>
      <c r="I25" s="27" t="s">
        <v>68</v>
      </c>
      <c r="J25" s="27"/>
      <c r="L25" s="29">
        <f>L19*L20</f>
        <v>2.386919266344453</v>
      </c>
      <c r="M25" s="27" t="s">
        <v>81</v>
      </c>
      <c r="N25" s="27"/>
      <c r="O25" s="27"/>
      <c r="R25" s="24">
        <v>4</v>
      </c>
      <c r="S25" s="24" t="s">
        <v>104</v>
      </c>
      <c r="T25" s="24"/>
      <c r="U25" s="24"/>
    </row>
    <row r="26" spans="3:21" ht="12.75">
      <c r="C26" s="27"/>
      <c r="D26" s="27" t="s">
        <v>69</v>
      </c>
      <c r="E26" s="27"/>
      <c r="F26" s="27"/>
      <c r="H26" s="27"/>
      <c r="I26" s="27" t="s">
        <v>69</v>
      </c>
      <c r="J26" s="27"/>
      <c r="P26" s="31"/>
      <c r="R26" s="24">
        <f>R24/R25</f>
        <v>0.42</v>
      </c>
      <c r="S26" s="24" t="s">
        <v>105</v>
      </c>
      <c r="T26" s="24"/>
      <c r="U26" s="24"/>
    </row>
    <row r="27" spans="1:38" s="18" customFormat="1" ht="12.75">
      <c r="A27"/>
      <c r="B27"/>
      <c r="C27" s="27"/>
      <c r="D27" s="27"/>
      <c r="E27" s="27"/>
      <c r="F27" s="27"/>
      <c r="G27"/>
      <c r="H27"/>
      <c r="I27"/>
      <c r="J27"/>
      <c r="K27"/>
      <c r="L27" s="27"/>
      <c r="M27" s="27"/>
      <c r="N27" s="27"/>
      <c r="O27" s="27"/>
      <c r="P27" s="30"/>
      <c r="Q27" s="31"/>
      <c r="R27" s="31"/>
      <c r="S27" s="31"/>
      <c r="T27" s="3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9" customFormat="1" ht="12.75">
      <c r="A28"/>
      <c r="B28"/>
      <c r="C28" s="28">
        <f>C23/C25</f>
        <v>3722.807127861493</v>
      </c>
      <c r="D28" s="27" t="s">
        <v>70</v>
      </c>
      <c r="E28" s="27"/>
      <c r="F28" s="27"/>
      <c r="G28"/>
      <c r="H28" s="28">
        <f>H23/H25</f>
        <v>99583.64696217969</v>
      </c>
      <c r="I28" s="27" t="s">
        <v>70</v>
      </c>
      <c r="J28" s="27"/>
      <c r="K28"/>
      <c r="L28" s="26">
        <f>L23/L25</f>
        <v>83.441152255385</v>
      </c>
      <c r="M28" s="27" t="s">
        <v>107</v>
      </c>
      <c r="N28" s="27"/>
      <c r="O28" s="36"/>
      <c r="P28" s="31"/>
      <c r="Q28" s="30"/>
      <c r="R28" s="30"/>
      <c r="S28" s="30"/>
      <c r="T28" s="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6:20" ht="12.75">
      <c r="P29" s="31"/>
      <c r="Q29" s="31"/>
      <c r="R29" s="31"/>
      <c r="S29" s="31"/>
      <c r="T29" s="31"/>
    </row>
    <row r="30" spans="3:20" ht="12.75">
      <c r="C30" s="23">
        <v>6</v>
      </c>
      <c r="D30" s="23" t="s">
        <v>71</v>
      </c>
      <c r="E30" s="23"/>
      <c r="F30" s="23"/>
      <c r="H30" s="23">
        <v>6</v>
      </c>
      <c r="I30" s="23" t="s">
        <v>71</v>
      </c>
      <c r="J30" s="23"/>
      <c r="L30" s="23">
        <v>6</v>
      </c>
      <c r="M30" s="23" t="s">
        <v>71</v>
      </c>
      <c r="N30" s="23"/>
      <c r="O30" s="23"/>
      <c r="Q30" s="31"/>
      <c r="R30" s="31"/>
      <c r="S30" s="31"/>
      <c r="T30" s="31"/>
    </row>
    <row r="31" spans="3:15" ht="12.75">
      <c r="C31" s="27">
        <f>60*C30</f>
        <v>360</v>
      </c>
      <c r="D31" s="27" t="s">
        <v>72</v>
      </c>
      <c r="E31" s="27"/>
      <c r="F31" s="27"/>
      <c r="H31" s="27">
        <f>60*H30</f>
        <v>360</v>
      </c>
      <c r="I31" s="27" t="s">
        <v>72</v>
      </c>
      <c r="J31" s="27"/>
      <c r="L31" s="27">
        <f>60*L30</f>
        <v>360</v>
      </c>
      <c r="M31" s="27" t="s">
        <v>72</v>
      </c>
      <c r="N31" s="27"/>
      <c r="O31" s="27"/>
    </row>
    <row r="32" spans="3:15" ht="12.75">
      <c r="C32" s="27"/>
      <c r="D32" s="27"/>
      <c r="E32" s="27"/>
      <c r="F32" s="27"/>
      <c r="H32" s="27"/>
      <c r="I32" s="27"/>
      <c r="J32" s="27"/>
      <c r="L32" s="27"/>
      <c r="M32" s="27"/>
      <c r="N32" s="27"/>
      <c r="O32" s="27"/>
    </row>
    <row r="33" spans="3:15" ht="12.75">
      <c r="C33" s="28">
        <f>C28/C31</f>
        <v>10.341130910726369</v>
      </c>
      <c r="D33" s="27" t="s">
        <v>75</v>
      </c>
      <c r="E33" s="27"/>
      <c r="F33" s="27"/>
      <c r="H33" s="28">
        <f>H28/H31</f>
        <v>276.62124156161025</v>
      </c>
      <c r="I33" s="27" t="s">
        <v>75</v>
      </c>
      <c r="J33" s="27"/>
      <c r="L33" s="26">
        <f>H31/L28</f>
        <v>4.3144178893666565</v>
      </c>
      <c r="M33" s="27" t="s">
        <v>110</v>
      </c>
      <c r="N33" s="27"/>
      <c r="O33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29.7109375" style="10" customWidth="1"/>
    <col min="3" max="3" width="10.00390625" style="0" bestFit="1" customWidth="1"/>
    <col min="10" max="10" width="12.8515625" style="0" customWidth="1"/>
    <col min="13" max="13" width="25.421875" style="0" customWidth="1"/>
    <col min="15" max="15" width="13.421875" style="0" customWidth="1"/>
    <col min="18" max="18" width="19.421875" style="0" customWidth="1"/>
  </cols>
  <sheetData>
    <row r="1" spans="1:10" s="3" customFormat="1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12.75">
      <c r="A2" s="21" t="s">
        <v>176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12.75">
      <c r="A3" s="21" t="s">
        <v>177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3" customFormat="1" ht="12.75">
      <c r="A4" s="21" t="s">
        <v>178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3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="3" customFormat="1" ht="12.75">
      <c r="B6" s="16" t="s">
        <v>151</v>
      </c>
    </row>
    <row r="7" spans="2:15" s="3" customFormat="1" ht="12.75">
      <c r="B7" s="16" t="s">
        <v>152</v>
      </c>
      <c r="J7" s="16" t="s">
        <v>199</v>
      </c>
      <c r="O7" s="16" t="s">
        <v>200</v>
      </c>
    </row>
    <row r="8" s="3" customFormat="1" ht="12.75">
      <c r="B8" s="10"/>
    </row>
    <row r="9" spans="2:15" s="3" customFormat="1" ht="12.75">
      <c r="B9" s="10"/>
      <c r="E9" s="16"/>
      <c r="J9" s="16" t="s">
        <v>129</v>
      </c>
      <c r="O9" s="16" t="s">
        <v>129</v>
      </c>
    </row>
    <row r="10" spans="2:18" s="3" customFormat="1" ht="12.75">
      <c r="B10" s="10" t="s">
        <v>130</v>
      </c>
      <c r="J10" s="38">
        <v>2</v>
      </c>
      <c r="K10" s="34" t="s">
        <v>89</v>
      </c>
      <c r="L10" s="38"/>
      <c r="M10" s="38"/>
      <c r="O10" s="38">
        <v>2</v>
      </c>
      <c r="P10" s="34" t="s">
        <v>89</v>
      </c>
      <c r="Q10" s="38"/>
      <c r="R10" s="38"/>
    </row>
    <row r="11" spans="10:18" ht="12.75">
      <c r="J11" s="38">
        <v>0.75</v>
      </c>
      <c r="K11" s="23" t="s">
        <v>195</v>
      </c>
      <c r="L11" s="23"/>
      <c r="M11" s="23"/>
      <c r="O11" s="38">
        <v>1</v>
      </c>
      <c r="P11" s="23" t="s">
        <v>195</v>
      </c>
      <c r="Q11" s="23"/>
      <c r="R11" s="23"/>
    </row>
    <row r="12" spans="2:18" ht="12.75">
      <c r="B12" s="10" t="s">
        <v>131</v>
      </c>
      <c r="C12" s="42">
        <v>200000</v>
      </c>
      <c r="D12" t="s">
        <v>13</v>
      </c>
      <c r="J12" s="27">
        <f>J11*J10</f>
        <v>1.5</v>
      </c>
      <c r="K12" s="27" t="s">
        <v>112</v>
      </c>
      <c r="L12" s="27"/>
      <c r="M12" s="27"/>
      <c r="O12" s="27">
        <f>O11*O10</f>
        <v>2</v>
      </c>
      <c r="P12" s="27" t="s">
        <v>112</v>
      </c>
      <c r="Q12" s="27"/>
      <c r="R12" s="27"/>
    </row>
    <row r="13" ht="12.75">
      <c r="B13" s="10" t="s">
        <v>132</v>
      </c>
    </row>
    <row r="14" ht="12.75">
      <c r="B14" s="10" t="s">
        <v>133</v>
      </c>
    </row>
    <row r="15" spans="2:18" ht="12.75">
      <c r="B15" s="10" t="s">
        <v>134</v>
      </c>
      <c r="J15" s="23">
        <v>150000</v>
      </c>
      <c r="K15" s="23" t="s">
        <v>85</v>
      </c>
      <c r="L15" s="23"/>
      <c r="M15" s="23"/>
      <c r="O15" s="23">
        <v>150000</v>
      </c>
      <c r="P15" s="23" t="s">
        <v>85</v>
      </c>
      <c r="Q15" s="23"/>
      <c r="R15" s="23"/>
    </row>
    <row r="16" spans="2:18" ht="12.75">
      <c r="B16" s="10" t="s">
        <v>135</v>
      </c>
      <c r="E16" s="31"/>
      <c r="F16" s="31"/>
      <c r="G16" s="31"/>
      <c r="H16" s="31"/>
      <c r="J16" s="28">
        <f>J11*J10*70*J15^0.75</f>
        <v>800309.0783435182</v>
      </c>
      <c r="K16" s="27" t="s">
        <v>168</v>
      </c>
      <c r="L16" s="27"/>
      <c r="M16" s="27"/>
      <c r="O16" s="28">
        <f>O11*O10*70*O15^0.75</f>
        <v>1067078.771124691</v>
      </c>
      <c r="P16" s="27" t="s">
        <v>168</v>
      </c>
      <c r="Q16" s="27"/>
      <c r="R16" s="27"/>
    </row>
    <row r="17" spans="2:8" ht="12.75">
      <c r="B17" s="43" t="s">
        <v>174</v>
      </c>
      <c r="E17" s="31"/>
      <c r="F17" s="31"/>
      <c r="G17" s="31"/>
      <c r="H17" s="31"/>
    </row>
    <row r="18" spans="5:18" ht="12.75">
      <c r="E18" s="31"/>
      <c r="F18" s="31"/>
      <c r="G18" s="31"/>
      <c r="H18" s="31"/>
      <c r="J18" s="28">
        <f>$C25</f>
        <v>450000000</v>
      </c>
      <c r="K18" s="27" t="s">
        <v>87</v>
      </c>
      <c r="L18" s="27"/>
      <c r="M18" s="27"/>
      <c r="O18" s="28">
        <f>$C25</f>
        <v>450000000</v>
      </c>
      <c r="P18" s="27" t="s">
        <v>87</v>
      </c>
      <c r="Q18" s="27"/>
      <c r="R18" s="27"/>
    </row>
    <row r="19" spans="2:8" ht="12.75">
      <c r="B19" s="34" t="s">
        <v>1</v>
      </c>
      <c r="C19" s="40">
        <v>150000</v>
      </c>
      <c r="D19" s="23" t="s">
        <v>153</v>
      </c>
      <c r="E19" s="31"/>
      <c r="F19" s="31"/>
      <c r="G19" s="31"/>
      <c r="H19" s="31"/>
    </row>
    <row r="20" spans="2:8" ht="12.75">
      <c r="B20" s="34" t="s">
        <v>154</v>
      </c>
      <c r="C20" s="40">
        <v>50000</v>
      </c>
      <c r="D20" s="23" t="s">
        <v>111</v>
      </c>
      <c r="E20" s="31"/>
      <c r="F20" s="31"/>
      <c r="G20" s="31"/>
      <c r="H20" s="31"/>
    </row>
    <row r="21" spans="5:8" ht="12.75">
      <c r="E21" s="31"/>
      <c r="F21" s="31"/>
      <c r="G21" s="31"/>
      <c r="H21" s="31"/>
    </row>
    <row r="22" spans="2:18" ht="12.75">
      <c r="B22" s="27" t="s">
        <v>155</v>
      </c>
      <c r="C22" s="28">
        <f>C19-C20</f>
        <v>100000</v>
      </c>
      <c r="D22" s="27" t="s">
        <v>13</v>
      </c>
      <c r="E22" s="31"/>
      <c r="F22" s="31"/>
      <c r="G22" s="31"/>
      <c r="H22" s="31"/>
      <c r="J22" s="27">
        <f>$C42</f>
        <v>210</v>
      </c>
      <c r="K22" s="27" t="s">
        <v>158</v>
      </c>
      <c r="L22" s="27"/>
      <c r="M22" s="27"/>
      <c r="O22" s="23">
        <v>220</v>
      </c>
      <c r="P22" s="23" t="s">
        <v>158</v>
      </c>
      <c r="Q22" s="23"/>
      <c r="R22" s="23"/>
    </row>
    <row r="23" spans="2:18" ht="12.75">
      <c r="B23" s="27" t="s">
        <v>156</v>
      </c>
      <c r="C23" s="28">
        <f>100*C20/(C19)</f>
        <v>33.333333333333336</v>
      </c>
      <c r="D23" s="27" t="s">
        <v>157</v>
      </c>
      <c r="E23" s="31"/>
      <c r="F23" s="31"/>
      <c r="G23" s="31"/>
      <c r="H23" s="31"/>
      <c r="J23" s="28">
        <f>$C42*$C38*1000*$E51</f>
        <v>146100000.00000003</v>
      </c>
      <c r="K23" s="27" t="s">
        <v>169</v>
      </c>
      <c r="L23" s="27"/>
      <c r="M23" s="27"/>
      <c r="O23" s="28">
        <f>O22*$C38*1000*$E51</f>
        <v>153057142.8571429</v>
      </c>
      <c r="P23" s="27" t="s">
        <v>169</v>
      </c>
      <c r="Q23" s="27"/>
      <c r="R23" s="27"/>
    </row>
    <row r="24" spans="5:18" ht="12.75">
      <c r="E24" s="44"/>
      <c r="F24" s="31"/>
      <c r="G24" s="31"/>
      <c r="H24" s="31"/>
      <c r="J24" s="28">
        <v>0</v>
      </c>
      <c r="K24" s="27" t="s">
        <v>88</v>
      </c>
      <c r="L24" s="27"/>
      <c r="M24" s="27"/>
      <c r="O24" s="28">
        <v>0</v>
      </c>
      <c r="P24" s="27" t="s">
        <v>88</v>
      </c>
      <c r="Q24" s="27"/>
      <c r="R24" s="27"/>
    </row>
    <row r="25" spans="2:18" ht="12.75">
      <c r="B25" s="35"/>
      <c r="C25" s="28">
        <f>9*C20*1000</f>
        <v>450000000</v>
      </c>
      <c r="D25" s="27" t="s">
        <v>86</v>
      </c>
      <c r="E25" s="27"/>
      <c r="F25" s="27"/>
      <c r="G25" s="31"/>
      <c r="H25" s="31"/>
      <c r="J25" s="28"/>
      <c r="K25" s="27"/>
      <c r="L25" s="27"/>
      <c r="M25" s="27"/>
      <c r="O25" s="28"/>
      <c r="P25" s="27"/>
      <c r="Q25" s="27"/>
      <c r="R25" s="27"/>
    </row>
    <row r="26" spans="5:18" ht="12.75">
      <c r="E26" s="31"/>
      <c r="F26" s="31"/>
      <c r="G26" s="31"/>
      <c r="H26" s="31"/>
      <c r="J26" s="27">
        <v>0.67</v>
      </c>
      <c r="K26" s="27" t="s">
        <v>170</v>
      </c>
      <c r="L26" s="27"/>
      <c r="M26" s="27"/>
      <c r="O26" s="27">
        <v>0.67</v>
      </c>
      <c r="P26" s="27" t="s">
        <v>170</v>
      </c>
      <c r="Q26" s="27"/>
      <c r="R26" s="27"/>
    </row>
    <row r="27" spans="2:18" ht="12.75">
      <c r="B27" s="35" t="s">
        <v>136</v>
      </c>
      <c r="C27" s="27">
        <v>1.5</v>
      </c>
      <c r="D27" s="27" t="s">
        <v>13</v>
      </c>
      <c r="E27" s="27"/>
      <c r="F27" s="27"/>
      <c r="G27" s="31"/>
      <c r="H27" s="31"/>
      <c r="J27" s="28">
        <f>J23/J26</f>
        <v>218059701.49253735</v>
      </c>
      <c r="K27" s="27" t="s">
        <v>171</v>
      </c>
      <c r="L27" s="27"/>
      <c r="M27" s="27"/>
      <c r="O27" s="28">
        <f>O23/O26</f>
        <v>228443496.8017058</v>
      </c>
      <c r="P27" s="27" t="s">
        <v>171</v>
      </c>
      <c r="Q27" s="27"/>
      <c r="R27" s="27"/>
    </row>
    <row r="28" spans="2:18" ht="12.75">
      <c r="B28" s="35" t="s">
        <v>138</v>
      </c>
      <c r="C28" s="27">
        <v>1.5</v>
      </c>
      <c r="D28" s="27" t="s">
        <v>137</v>
      </c>
      <c r="E28" s="27"/>
      <c r="F28" s="27"/>
      <c r="G28" s="31"/>
      <c r="H28" s="31"/>
      <c r="J28" s="28">
        <f>J18-J27</f>
        <v>231940298.50746265</v>
      </c>
      <c r="K28" s="27" t="s">
        <v>172</v>
      </c>
      <c r="L28" s="27"/>
      <c r="M28" s="27"/>
      <c r="O28" s="28">
        <f>O18-O27</f>
        <v>221556503.1982942</v>
      </c>
      <c r="P28" s="27" t="s">
        <v>172</v>
      </c>
      <c r="Q28" s="27"/>
      <c r="R28" s="27"/>
    </row>
    <row r="29" spans="5:8" ht="12.75">
      <c r="E29" s="31"/>
      <c r="F29" s="31"/>
      <c r="G29" s="31"/>
      <c r="H29" s="31"/>
    </row>
    <row r="30" spans="3:18" s="31" customFormat="1" ht="12.75">
      <c r="C30"/>
      <c r="D30"/>
      <c r="E30"/>
      <c r="F30"/>
      <c r="G30"/>
      <c r="J30" s="28">
        <f>J28/$C42</f>
        <v>1104477.6119402982</v>
      </c>
      <c r="K30" s="27" t="s">
        <v>196</v>
      </c>
      <c r="L30" s="27"/>
      <c r="M30" s="27"/>
      <c r="O30" s="28">
        <f>O28/$C42</f>
        <v>1055030.9676109247</v>
      </c>
      <c r="P30" s="27" t="s">
        <v>196</v>
      </c>
      <c r="Q30" s="27"/>
      <c r="R30" s="27"/>
    </row>
    <row r="31" spans="2:8" ht="12.75">
      <c r="B31" s="11" t="s">
        <v>175</v>
      </c>
      <c r="H31" s="31"/>
    </row>
    <row r="32" spans="2:18" ht="12.75">
      <c r="B32" s="11"/>
      <c r="H32" s="31"/>
      <c r="J32" s="28">
        <f>J30-J16</f>
        <v>304168.53359678003</v>
      </c>
      <c r="K32" s="27" t="s">
        <v>197</v>
      </c>
      <c r="L32" s="27"/>
      <c r="M32" s="27"/>
      <c r="O32" s="28">
        <f>O30-O16</f>
        <v>-12047.803513766266</v>
      </c>
      <c r="P32" s="27" t="s">
        <v>197</v>
      </c>
      <c r="Q32" s="27"/>
      <c r="R32" s="27"/>
    </row>
    <row r="33" spans="2:18" ht="12.75">
      <c r="B33" s="11" t="s">
        <v>139</v>
      </c>
      <c r="C33">
        <v>80000</v>
      </c>
      <c r="D33" t="s">
        <v>13</v>
      </c>
      <c r="G33" s="31"/>
      <c r="J33" s="27"/>
      <c r="K33" s="27" t="s">
        <v>173</v>
      </c>
      <c r="L33" s="27"/>
      <c r="M33" s="27"/>
      <c r="O33" s="27"/>
      <c r="P33" s="27" t="s">
        <v>173</v>
      </c>
      <c r="Q33" s="27"/>
      <c r="R33" s="27"/>
    </row>
    <row r="34" spans="2:18" ht="12.75">
      <c r="B34" s="11" t="s">
        <v>140</v>
      </c>
      <c r="C34">
        <v>45000</v>
      </c>
      <c r="J34" s="45">
        <f>J32/J16</f>
        <v>0.3800638301221684</v>
      </c>
      <c r="K34" s="27" t="s">
        <v>198</v>
      </c>
      <c r="L34" s="27"/>
      <c r="M34" s="27"/>
      <c r="O34" s="45">
        <f>O32/O16</f>
        <v>-0.01129045375072732</v>
      </c>
      <c r="P34" s="27" t="s">
        <v>198</v>
      </c>
      <c r="Q34" s="27"/>
      <c r="R34" s="27"/>
    </row>
    <row r="35" ht="12.75">
      <c r="B35" s="11"/>
    </row>
    <row r="36" spans="2:4" ht="12.75">
      <c r="B36" s="11" t="s">
        <v>141</v>
      </c>
      <c r="C36">
        <f>C34</f>
        <v>45000</v>
      </c>
      <c r="D36" t="s">
        <v>13</v>
      </c>
    </row>
    <row r="37" spans="2:18" ht="12.75">
      <c r="B37" s="11" t="s">
        <v>142</v>
      </c>
      <c r="C37">
        <f>C36/C27</f>
        <v>30000</v>
      </c>
      <c r="D37" t="s">
        <v>13</v>
      </c>
      <c r="J37" s="28">
        <f>J18/J16</f>
        <v>562.2827632186944</v>
      </c>
      <c r="K37" s="27" t="s">
        <v>167</v>
      </c>
      <c r="L37" s="27"/>
      <c r="M37" s="27"/>
      <c r="O37" s="28">
        <f>O18/O16</f>
        <v>421.7120724140208</v>
      </c>
      <c r="P37" s="27" t="s">
        <v>167</v>
      </c>
      <c r="Q37" s="27"/>
      <c r="R37" s="27"/>
    </row>
    <row r="38" spans="2:4" ht="12.75">
      <c r="B38" s="10" t="s">
        <v>150</v>
      </c>
      <c r="C38" s="2">
        <f>C37/C42</f>
        <v>142.85714285714286</v>
      </c>
      <c r="D38" t="s">
        <v>13</v>
      </c>
    </row>
    <row r="40" spans="2:4" ht="12.75">
      <c r="B40" s="41" t="s">
        <v>143</v>
      </c>
      <c r="C40" s="31"/>
      <c r="D40" s="31"/>
    </row>
    <row r="41" spans="2:4" ht="12.75">
      <c r="B41" s="10" t="s">
        <v>144</v>
      </c>
      <c r="C41">
        <v>2700</v>
      </c>
      <c r="D41" t="s">
        <v>13</v>
      </c>
    </row>
    <row r="42" spans="2:4" ht="12.75">
      <c r="B42" s="10" t="s">
        <v>145</v>
      </c>
      <c r="C42">
        <v>210</v>
      </c>
      <c r="D42" t="s">
        <v>146</v>
      </c>
    </row>
    <row r="43" spans="2:4" ht="12.75">
      <c r="B43" s="10" t="s">
        <v>147</v>
      </c>
      <c r="C43">
        <v>81</v>
      </c>
      <c r="D43" t="s">
        <v>148</v>
      </c>
    </row>
    <row r="44" spans="2:3" ht="12.75">
      <c r="B44" s="10" t="s">
        <v>149</v>
      </c>
      <c r="C44">
        <f>C43*C42</f>
        <v>17010</v>
      </c>
    </row>
    <row r="46" spans="2:7" ht="12.75">
      <c r="B46" s="35" t="s">
        <v>159</v>
      </c>
      <c r="C46" s="39" t="s">
        <v>164</v>
      </c>
      <c r="D46" s="39" t="s">
        <v>165</v>
      </c>
      <c r="E46" s="27"/>
      <c r="F46" s="27"/>
      <c r="G46" s="27"/>
    </row>
    <row r="47" spans="2:7" ht="12.75">
      <c r="B47" s="35" t="s">
        <v>160</v>
      </c>
      <c r="C47" s="27">
        <v>45</v>
      </c>
      <c r="D47" s="27">
        <v>0</v>
      </c>
      <c r="E47" s="27"/>
      <c r="F47" s="27"/>
      <c r="G47" s="27"/>
    </row>
    <row r="48" spans="2:7" ht="12.75">
      <c r="B48" s="35" t="s">
        <v>161</v>
      </c>
      <c r="C48" s="27">
        <v>41</v>
      </c>
      <c r="D48" s="27">
        <v>9</v>
      </c>
      <c r="E48" s="27">
        <f>0.01*C48*D48</f>
        <v>3.6900000000000004</v>
      </c>
      <c r="F48" s="27"/>
      <c r="G48" s="27"/>
    </row>
    <row r="49" spans="2:7" ht="12.75">
      <c r="B49" s="35" t="s">
        <v>162</v>
      </c>
      <c r="C49" s="27">
        <v>12</v>
      </c>
      <c r="D49" s="27">
        <v>5.5</v>
      </c>
      <c r="E49" s="27">
        <f>0.01*C49*D49</f>
        <v>0.6599999999999999</v>
      </c>
      <c r="F49" s="27"/>
      <c r="G49" s="27"/>
    </row>
    <row r="50" spans="2:7" ht="12.75">
      <c r="B50" s="35" t="s">
        <v>163</v>
      </c>
      <c r="C50" s="27">
        <v>13</v>
      </c>
      <c r="D50" s="27">
        <v>4</v>
      </c>
      <c r="E50" s="27">
        <f>0.01*C50*D50</f>
        <v>0.52</v>
      </c>
      <c r="F50" s="27"/>
      <c r="G50" s="27"/>
    </row>
    <row r="51" spans="2:7" ht="12.75">
      <c r="B51" s="35"/>
      <c r="C51" s="27"/>
      <c r="D51" s="27"/>
      <c r="E51" s="27">
        <f>SUM(E47:E50)</f>
        <v>4.870000000000001</v>
      </c>
      <c r="F51" s="27" t="s">
        <v>166</v>
      </c>
      <c r="G51" s="27"/>
    </row>
    <row r="52" spans="2:7" ht="12.75">
      <c r="B52" s="35"/>
      <c r="C52" s="27"/>
      <c r="D52" s="27"/>
      <c r="E52" s="27"/>
      <c r="F52" s="27"/>
      <c r="G52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7">
      <selection activeCell="K38" sqref="K38"/>
    </sheetView>
  </sheetViews>
  <sheetFormatPr defaultColWidth="9.140625" defaultRowHeight="12.75"/>
  <cols>
    <col min="2" max="2" width="29.7109375" style="10" customWidth="1"/>
    <col min="3" max="3" width="10.00390625" style="0" bestFit="1" customWidth="1"/>
    <col min="10" max="10" width="12.8515625" style="0" customWidth="1"/>
    <col min="13" max="13" width="41.8515625" style="0" customWidth="1"/>
    <col min="15" max="15" width="13.421875" style="0" customWidth="1"/>
    <col min="18" max="18" width="19.421875" style="0" customWidth="1"/>
  </cols>
  <sheetData>
    <row r="1" spans="1:18" s="3" customFormat="1" ht="12.75">
      <c r="A1" s="22"/>
      <c r="B1" s="22"/>
      <c r="C1" s="22"/>
      <c r="D1" s="22"/>
      <c r="E1" s="22"/>
      <c r="F1" s="22"/>
      <c r="G1" s="22"/>
      <c r="H1" s="22"/>
      <c r="I1" s="22"/>
      <c r="J1" s="22"/>
      <c r="O1"/>
      <c r="P1"/>
      <c r="Q1"/>
      <c r="R1"/>
    </row>
    <row r="2" spans="1:18" s="3" customFormat="1" ht="12.75">
      <c r="A2" s="21" t="s">
        <v>179</v>
      </c>
      <c r="B2" s="22"/>
      <c r="C2" s="22"/>
      <c r="D2" s="22"/>
      <c r="E2" s="22"/>
      <c r="F2" s="22"/>
      <c r="G2" s="22"/>
      <c r="H2" s="22"/>
      <c r="I2" s="22"/>
      <c r="J2" s="22"/>
      <c r="O2"/>
      <c r="P2"/>
      <c r="Q2"/>
      <c r="R2"/>
    </row>
    <row r="3" spans="1:18" s="3" customFormat="1" ht="12.75">
      <c r="A3" s="21" t="s">
        <v>180</v>
      </c>
      <c r="B3" s="22"/>
      <c r="C3" s="22"/>
      <c r="D3" s="22"/>
      <c r="E3" s="22"/>
      <c r="F3" s="22"/>
      <c r="G3" s="22"/>
      <c r="H3" s="22"/>
      <c r="I3" s="22"/>
      <c r="J3" s="22"/>
      <c r="O3"/>
      <c r="P3"/>
      <c r="Q3"/>
      <c r="R3"/>
    </row>
    <row r="4" spans="1:18" s="3" customFormat="1" ht="12.75">
      <c r="A4" s="21" t="s">
        <v>190</v>
      </c>
      <c r="B4" s="22"/>
      <c r="C4" s="22"/>
      <c r="D4" s="22"/>
      <c r="E4" s="22"/>
      <c r="F4" s="22"/>
      <c r="G4" s="22"/>
      <c r="H4" s="22"/>
      <c r="I4" s="22"/>
      <c r="J4" s="22"/>
      <c r="O4"/>
      <c r="P4"/>
      <c r="Q4"/>
      <c r="R4"/>
    </row>
    <row r="5" spans="1:18" s="3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O5"/>
      <c r="P5"/>
      <c r="Q5"/>
      <c r="R5"/>
    </row>
    <row r="6" spans="2:18" s="3" customFormat="1" ht="12.75">
      <c r="B6" s="16"/>
      <c r="O6"/>
      <c r="P6"/>
      <c r="Q6"/>
      <c r="R6"/>
    </row>
    <row r="7" spans="2:18" s="3" customFormat="1" ht="12.75">
      <c r="B7" s="16"/>
      <c r="O7"/>
      <c r="P7"/>
      <c r="Q7"/>
      <c r="R7"/>
    </row>
    <row r="8" spans="2:18" s="3" customFormat="1" ht="12.75">
      <c r="B8" s="10"/>
      <c r="O8"/>
      <c r="P8"/>
      <c r="Q8"/>
      <c r="R8"/>
    </row>
    <row r="9" spans="1:18" s="3" customFormat="1" ht="12.75">
      <c r="A9" s="50"/>
      <c r="B9" s="51"/>
      <c r="C9" s="50"/>
      <c r="D9" s="50"/>
      <c r="E9" s="21"/>
      <c r="F9" s="50"/>
      <c r="J9" s="16" t="s">
        <v>25</v>
      </c>
      <c r="O9"/>
      <c r="P9"/>
      <c r="Q9"/>
      <c r="R9"/>
    </row>
    <row r="10" spans="1:18" s="3" customFormat="1" ht="12.75">
      <c r="A10" s="50"/>
      <c r="B10" s="51" t="s">
        <v>187</v>
      </c>
      <c r="C10" s="50"/>
      <c r="D10" s="50"/>
      <c r="E10" s="50"/>
      <c r="F10" s="50"/>
      <c r="J10" s="38">
        <v>2</v>
      </c>
      <c r="K10" s="34" t="s">
        <v>89</v>
      </c>
      <c r="L10" s="38"/>
      <c r="M10" s="38"/>
      <c r="O10"/>
      <c r="P10"/>
      <c r="Q10"/>
      <c r="R10"/>
    </row>
    <row r="11" spans="1:13" ht="12.75">
      <c r="A11" s="9"/>
      <c r="B11" s="51"/>
      <c r="C11" s="9"/>
      <c r="D11" s="9"/>
      <c r="E11" s="9"/>
      <c r="F11" s="9"/>
      <c r="J11" s="38">
        <v>1</v>
      </c>
      <c r="K11" s="23" t="s">
        <v>195</v>
      </c>
      <c r="L11" s="23"/>
      <c r="M11" s="23"/>
    </row>
    <row r="12" spans="1:13" ht="12.75">
      <c r="A12" s="9"/>
      <c r="B12" s="51" t="s">
        <v>131</v>
      </c>
      <c r="C12" s="52">
        <f>0.001*10</f>
        <v>0.01</v>
      </c>
      <c r="D12" s="9" t="s">
        <v>13</v>
      </c>
      <c r="E12" s="9"/>
      <c r="F12" s="9"/>
      <c r="J12" s="27">
        <f>J11*J10</f>
        <v>2</v>
      </c>
      <c r="K12" s="27" t="s">
        <v>112</v>
      </c>
      <c r="L12" s="27"/>
      <c r="M12" s="27"/>
    </row>
    <row r="13" spans="1:6" ht="12.75">
      <c r="A13" s="9"/>
      <c r="B13" s="51" t="s">
        <v>182</v>
      </c>
      <c r="C13" s="9"/>
      <c r="D13" s="9"/>
      <c r="E13" s="9"/>
      <c r="F13" s="9"/>
    </row>
    <row r="14" spans="1:6" ht="12.75">
      <c r="A14" s="9"/>
      <c r="B14" s="51" t="s">
        <v>183</v>
      </c>
      <c r="C14" s="9"/>
      <c r="D14" s="9"/>
      <c r="E14" s="9"/>
      <c r="F14" s="9"/>
    </row>
    <row r="15" spans="1:13" ht="12.75">
      <c r="A15" s="9"/>
      <c r="B15" s="51" t="s">
        <v>184</v>
      </c>
      <c r="C15" s="9"/>
      <c r="D15" s="9"/>
      <c r="E15" s="9"/>
      <c r="F15" s="9"/>
      <c r="J15" s="53">
        <v>0.01</v>
      </c>
      <c r="K15" s="27" t="s">
        <v>85</v>
      </c>
      <c r="L15" s="27"/>
      <c r="M15" s="27"/>
    </row>
    <row r="16" spans="1:13" ht="12.75">
      <c r="A16" s="9"/>
      <c r="B16" s="51"/>
      <c r="C16" s="9"/>
      <c r="D16" s="9"/>
      <c r="E16" s="9"/>
      <c r="F16" s="9"/>
      <c r="G16" s="31"/>
      <c r="H16" s="31"/>
      <c r="J16" s="47">
        <f>J12*70*J15^0.75</f>
        <v>4.427188724235732</v>
      </c>
      <c r="K16" s="27" t="s">
        <v>168</v>
      </c>
      <c r="L16" s="27"/>
      <c r="M16" s="27"/>
    </row>
    <row r="17" spans="2:8" ht="12.75">
      <c r="B17" s="43"/>
      <c r="E17" s="31"/>
      <c r="F17" s="31"/>
      <c r="G17" s="31"/>
      <c r="H17" s="31"/>
    </row>
    <row r="18" spans="5:13" ht="12.75">
      <c r="E18" s="31"/>
      <c r="F18" s="31"/>
      <c r="G18" s="31"/>
      <c r="H18" s="31"/>
      <c r="J18" s="28">
        <f>$C25</f>
        <v>29.7</v>
      </c>
      <c r="K18" s="27" t="s">
        <v>201</v>
      </c>
      <c r="L18" s="27"/>
      <c r="M18" s="27"/>
    </row>
    <row r="19" spans="2:8" ht="12.75">
      <c r="B19" s="34" t="s">
        <v>1</v>
      </c>
      <c r="C19" s="48">
        <v>0.01</v>
      </c>
      <c r="D19" s="23" t="s">
        <v>153</v>
      </c>
      <c r="E19" s="31"/>
      <c r="F19" s="31"/>
      <c r="G19" s="31"/>
      <c r="H19" s="31"/>
    </row>
    <row r="20" spans="2:8" ht="12.75">
      <c r="B20" s="34" t="s">
        <v>154</v>
      </c>
      <c r="C20" s="46">
        <v>0.0033</v>
      </c>
      <c r="D20" s="23" t="s">
        <v>154</v>
      </c>
      <c r="E20" s="31"/>
      <c r="F20" s="31"/>
      <c r="G20" s="31"/>
      <c r="H20" s="31"/>
    </row>
    <row r="21" spans="3:8" ht="12.75">
      <c r="C21" s="5"/>
      <c r="E21" s="31"/>
      <c r="F21" s="31"/>
      <c r="G21" s="31"/>
      <c r="H21" s="31"/>
    </row>
    <row r="22" spans="2:13" ht="12.75">
      <c r="B22" s="27" t="s">
        <v>155</v>
      </c>
      <c r="C22" s="47">
        <f>C19-C20</f>
        <v>0.0067</v>
      </c>
      <c r="D22" s="27" t="s">
        <v>13</v>
      </c>
      <c r="E22" s="27"/>
      <c r="F22" s="27"/>
      <c r="G22" s="27"/>
      <c r="H22" s="31"/>
      <c r="J22" s="27">
        <f>C42</f>
        <v>20</v>
      </c>
      <c r="K22" s="27" t="s">
        <v>158</v>
      </c>
      <c r="L22" s="27"/>
      <c r="M22" s="27"/>
    </row>
    <row r="23" spans="2:13" ht="12.75">
      <c r="B23" s="27" t="s">
        <v>156</v>
      </c>
      <c r="C23" s="28">
        <f>100*C20/(C19)</f>
        <v>33</v>
      </c>
      <c r="D23" s="27" t="s">
        <v>157</v>
      </c>
      <c r="E23" s="27"/>
      <c r="F23" s="27"/>
      <c r="G23" s="27"/>
      <c r="H23" s="31"/>
      <c r="J23" s="28">
        <f>$C42*$C34*1000*$E51</f>
        <v>17.150000000000002</v>
      </c>
      <c r="K23" s="27" t="s">
        <v>202</v>
      </c>
      <c r="L23" s="27"/>
      <c r="M23" s="27"/>
    </row>
    <row r="24" spans="5:13" ht="12.75">
      <c r="E24" s="44"/>
      <c r="F24" s="31"/>
      <c r="G24" s="31"/>
      <c r="H24" s="31"/>
      <c r="J24" s="28"/>
      <c r="K24" s="27"/>
      <c r="L24" s="27"/>
      <c r="M24" s="27"/>
    </row>
    <row r="25" spans="2:13" ht="12.75">
      <c r="B25" s="35"/>
      <c r="C25" s="28">
        <f>9*C20*1000</f>
        <v>29.7</v>
      </c>
      <c r="D25" s="27" t="s">
        <v>86</v>
      </c>
      <c r="E25" s="27"/>
      <c r="F25" s="27"/>
      <c r="G25" s="27"/>
      <c r="H25" s="31"/>
      <c r="J25" s="27">
        <v>0.67</v>
      </c>
      <c r="K25" s="27" t="s">
        <v>181</v>
      </c>
      <c r="L25" s="27"/>
      <c r="M25" s="27"/>
    </row>
    <row r="26" spans="5:13" ht="12.75">
      <c r="E26" s="31"/>
      <c r="F26" s="31"/>
      <c r="G26" s="31"/>
      <c r="H26" s="31"/>
      <c r="J26" s="28">
        <f>J23/J25</f>
        <v>25.597014925373134</v>
      </c>
      <c r="K26" s="27" t="s">
        <v>171</v>
      </c>
      <c r="L26" s="27"/>
      <c r="M26" s="27"/>
    </row>
    <row r="27" spans="2:13" ht="12.75">
      <c r="B27"/>
      <c r="G27" s="31"/>
      <c r="H27" s="31"/>
      <c r="J27" s="28">
        <f>J18-J26</f>
        <v>4.102985074626865</v>
      </c>
      <c r="K27" s="27" t="s">
        <v>204</v>
      </c>
      <c r="L27" s="27"/>
      <c r="M27" s="27"/>
    </row>
    <row r="28" spans="2:8" ht="12.75">
      <c r="B28"/>
      <c r="G28" s="31"/>
      <c r="H28" s="31"/>
    </row>
    <row r="29" spans="5:8" ht="12.75">
      <c r="E29" s="31"/>
      <c r="F29" s="31"/>
      <c r="G29" s="31"/>
      <c r="H29" s="31"/>
    </row>
    <row r="30" spans="3:18" s="31" customFormat="1" ht="12.75">
      <c r="C30"/>
      <c r="D30"/>
      <c r="E30"/>
      <c r="F30"/>
      <c r="G30"/>
      <c r="J30" s="47">
        <f>J26/$C42</f>
        <v>1.2798507462686568</v>
      </c>
      <c r="K30" s="27" t="s">
        <v>189</v>
      </c>
      <c r="L30" s="27"/>
      <c r="M30" s="27"/>
      <c r="O30"/>
      <c r="P30"/>
      <c r="Q30"/>
      <c r="R30"/>
    </row>
    <row r="31" spans="2:13" ht="12.75">
      <c r="B31" s="55" t="s">
        <v>207</v>
      </c>
      <c r="H31" s="31"/>
      <c r="J31" s="47">
        <f>-1*J27/$C42</f>
        <v>-0.20514925373134324</v>
      </c>
      <c r="K31" s="27" t="s">
        <v>203</v>
      </c>
      <c r="L31" s="27"/>
      <c r="M31" s="27"/>
    </row>
    <row r="32" spans="2:13" ht="12.75">
      <c r="B32" s="11"/>
      <c r="H32" s="31"/>
      <c r="J32" s="29">
        <f>J30/(70*J15^0.75)</f>
        <v>0.5781776318964573</v>
      </c>
      <c r="K32" s="27" t="s">
        <v>188</v>
      </c>
      <c r="L32" s="27"/>
      <c r="M32" s="27"/>
    </row>
    <row r="33" spans="2:7" ht="12.75">
      <c r="B33" s="11" t="s">
        <v>142</v>
      </c>
      <c r="C33">
        <v>0.005</v>
      </c>
      <c r="D33" t="s">
        <v>13</v>
      </c>
      <c r="G33" s="31"/>
    </row>
    <row r="34" spans="2:13" ht="12.75">
      <c r="B34" s="10" t="s">
        <v>150</v>
      </c>
      <c r="C34" s="49">
        <f>C33/C42</f>
        <v>0.00025</v>
      </c>
      <c r="D34" t="s">
        <v>13</v>
      </c>
      <c r="J34" s="47">
        <f>J31+J16</f>
        <v>4.222039470504389</v>
      </c>
      <c r="K34" s="27" t="s">
        <v>185</v>
      </c>
      <c r="L34" s="27"/>
      <c r="M34" s="27"/>
    </row>
    <row r="35" spans="2:13" ht="12.75">
      <c r="B35" s="11"/>
      <c r="J35" s="27"/>
      <c r="K35" s="27" t="s">
        <v>186</v>
      </c>
      <c r="L35" s="27"/>
      <c r="M35" s="27"/>
    </row>
    <row r="36" spans="2:13" ht="12.75">
      <c r="B36" s="54" t="s">
        <v>206</v>
      </c>
      <c r="C36" s="27">
        <f>1000*C33</f>
        <v>5</v>
      </c>
      <c r="D36" s="27" t="s">
        <v>8</v>
      </c>
      <c r="E36" s="27"/>
      <c r="F36" s="27"/>
      <c r="G36" s="27"/>
      <c r="J36" s="45"/>
      <c r="K36" s="27"/>
      <c r="L36" s="27"/>
      <c r="M36" s="27"/>
    </row>
    <row r="37" spans="2:7" ht="12.75">
      <c r="B37" s="35" t="s">
        <v>205</v>
      </c>
      <c r="C37" s="27">
        <f>1000*C34</f>
        <v>0.25</v>
      </c>
      <c r="D37" s="27" t="s">
        <v>8</v>
      </c>
      <c r="E37" s="27"/>
      <c r="F37" s="27"/>
      <c r="G37" s="27"/>
    </row>
    <row r="40" spans="2:4" ht="12.75">
      <c r="B40" s="41"/>
      <c r="C40" s="31"/>
      <c r="D40" s="31"/>
    </row>
    <row r="41" spans="2:4" ht="12.75">
      <c r="B41" s="34"/>
      <c r="C41" s="23"/>
      <c r="D41" s="23"/>
    </row>
    <row r="42" spans="2:4" ht="12.75">
      <c r="B42" s="34" t="s">
        <v>145</v>
      </c>
      <c r="C42" s="23">
        <v>20</v>
      </c>
      <c r="D42" s="23" t="s">
        <v>146</v>
      </c>
    </row>
    <row r="46" spans="2:7" ht="12.75">
      <c r="B46" s="35" t="s">
        <v>159</v>
      </c>
      <c r="C46" s="39" t="s">
        <v>164</v>
      </c>
      <c r="D46" s="39" t="s">
        <v>165</v>
      </c>
      <c r="E46" s="27"/>
      <c r="F46" s="27"/>
      <c r="G46" s="27"/>
    </row>
    <row r="47" spans="2:7" ht="12.75">
      <c r="B47" s="35" t="s">
        <v>160</v>
      </c>
      <c r="C47" s="27">
        <f>100-SUM(C48:C50)</f>
        <v>50</v>
      </c>
      <c r="D47" s="27">
        <v>0</v>
      </c>
      <c r="E47" s="27"/>
      <c r="F47" s="27"/>
      <c r="G47" s="27"/>
    </row>
    <row r="48" spans="2:7" ht="12.75">
      <c r="B48" s="35" t="s">
        <v>161</v>
      </c>
      <c r="C48" s="27">
        <v>25</v>
      </c>
      <c r="D48" s="27">
        <v>9</v>
      </c>
      <c r="E48" s="27">
        <f>0.01*C48*D48</f>
        <v>2.25</v>
      </c>
      <c r="F48" s="27"/>
      <c r="G48" s="27"/>
    </row>
    <row r="49" spans="2:7" ht="12.75">
      <c r="B49" s="35" t="s">
        <v>162</v>
      </c>
      <c r="C49" s="27">
        <v>12</v>
      </c>
      <c r="D49" s="27">
        <v>5.5</v>
      </c>
      <c r="E49" s="27">
        <f>0.01*C49*D49</f>
        <v>0.6599999999999999</v>
      </c>
      <c r="F49" s="27"/>
      <c r="G49" s="27"/>
    </row>
    <row r="50" spans="2:7" ht="12.75">
      <c r="B50" s="35" t="s">
        <v>163</v>
      </c>
      <c r="C50" s="27">
        <v>13</v>
      </c>
      <c r="D50" s="27">
        <v>4</v>
      </c>
      <c r="E50" s="27">
        <f>0.01*C50*D50</f>
        <v>0.52</v>
      </c>
      <c r="F50" s="27"/>
      <c r="G50" s="27"/>
    </row>
    <row r="51" spans="2:7" ht="12.75">
      <c r="B51" s="35"/>
      <c r="C51" s="27"/>
      <c r="D51" s="27"/>
      <c r="E51" s="27">
        <f>SUM(E47:E50)</f>
        <v>3.43</v>
      </c>
      <c r="F51" s="27" t="s">
        <v>166</v>
      </c>
      <c r="G51" s="27"/>
    </row>
    <row r="52" spans="2:7" ht="12.75">
      <c r="B52" s="35"/>
      <c r="C52" s="27"/>
      <c r="D52" s="27"/>
      <c r="E52" s="27"/>
      <c r="F52" s="27"/>
      <c r="G52" s="2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um</cp:lastModifiedBy>
  <dcterms:created xsi:type="dcterms:W3CDTF">2005-10-11T16:09:04Z</dcterms:created>
  <dcterms:modified xsi:type="dcterms:W3CDTF">2009-11-16T13:46:55Z</dcterms:modified>
  <cp:category/>
  <cp:version/>
  <cp:contentType/>
  <cp:contentStatus/>
</cp:coreProperties>
</file>